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ejpd.intra.admin.ch\Userhome$\BFM-01\U80853344\config\Desktop\"/>
    </mc:Choice>
  </mc:AlternateContent>
  <xr:revisionPtr revIDLastSave="0" documentId="8_{CE962626-6703-4EAD-9809-2A6381DA09DE}" xr6:coauthVersionLast="47" xr6:coauthVersionMax="47" xr10:uidLastSave="{00000000-0000-0000-0000-000000000000}"/>
  <workbookProtection workbookAlgorithmName="SHA-512" workbookHashValue="cT2K7SxbMQ7LcxvdXkXPiB+LDPzHAu1Z46255MoFixyd8pINKgHQHEa2BZqsx5plQAogyswHs5yHFXPsH5b3Kg==" workbookSaltValue="+gWu5LkNw4giGQLSwjZBIA==" workbookSpinCount="100000" lockStructure="1"/>
  <bookViews>
    <workbookView xWindow="-110" yWindow="-110" windowWidth="19420" windowHeight="10420" tabRatio="687" firstSheet="1" activeTab="1" xr2:uid="{00000000-000D-0000-FFFF-FFFF00000000}"/>
  </bookViews>
  <sheets>
    <sheet name="Dropdownlisten" sheetId="1" state="veryHidden" r:id="rId1"/>
    <sheet name="Inhaltsverzeichnis" sheetId="3" r:id="rId2"/>
    <sheet name="KIP Kennzahlen" sheetId="4" r:id="rId3"/>
    <sheet name="Überblick IAS Kennzahlen" sheetId="5" r:id="rId4"/>
    <sheet name="IAS KZ 1" sheetId="6" r:id="rId5"/>
    <sheet name="IAS KZ 2" sheetId="7" r:id="rId6"/>
    <sheet name="IAS KZ 3" sheetId="8" r:id="rId7"/>
    <sheet name="IAS KZ 4" sheetId="9" r:id="rId8"/>
    <sheet name="IAS KZ 5" sheetId="10" r:id="rId9"/>
    <sheet name="IAS KZ 6" sheetId="11" r:id="rId10"/>
    <sheet name="IAS KZ 7" sheetId="12" r:id="rId11"/>
    <sheet name="IAS KZ 8" sheetId="13" r:id="rId12"/>
    <sheet name="IAS KZ 9" sheetId="14" r:id="rId13"/>
    <sheet name="IAS KZ 11a" sheetId="16" r:id="rId14"/>
    <sheet name="IAS KZ 11b" sheetId="17" r:id="rId15"/>
    <sheet name="IAS KZ 14" sheetId="18" r:id="rId16"/>
    <sheet name="Grundgesamtheiten IAS ab Mai 19" sheetId="19" state="veryHidden" r:id="rId17"/>
    <sheet name="Grundgesamtheiten IAS alle" sheetId="20" state="veryHidden" r:id="rId18"/>
  </sheets>
  <definedNames>
    <definedName name="bestand_alle">'Grundgesamtheiten IAS alle'!$A$5:$AF$34</definedName>
    <definedName name="bestand_ias">'Grundgesamtheiten IAS ab Mai 19'!$A$5:$AK$34</definedName>
    <definedName name="Print_Area" localSheetId="16">'Grundgesamtheiten IAS ab Mai 19'!$A$1:$AK$34</definedName>
    <definedName name="Print_Area" localSheetId="17">'Grundgesamtheiten IAS alle'!$A$1:$AF$34</definedName>
    <definedName name="Print_Area" localSheetId="4">'IAS KZ 1'!$A$1:$L$16</definedName>
    <definedName name="Print_Area" localSheetId="13">'IAS KZ 11a'!$A$1:$M$17</definedName>
    <definedName name="Print_Area" localSheetId="14">'IAS KZ 11b'!$A$1:$N$17</definedName>
    <definedName name="Print_Area" localSheetId="5">'IAS KZ 2'!$A$1:$L$21</definedName>
    <definedName name="Print_Area" localSheetId="6">'IAS KZ 3'!$A$1:$M$18</definedName>
    <definedName name="Print_Area" localSheetId="7">'IAS KZ 4'!$A$1:$M$16</definedName>
    <definedName name="Print_Area" localSheetId="8">'IAS KZ 5'!$A$1:$M$18</definedName>
    <definedName name="Print_Area" localSheetId="9">'IAS KZ 6'!$A$1:$L$16</definedName>
    <definedName name="Print_Area" localSheetId="10">'IAS KZ 7'!$A$1:$N$17</definedName>
    <definedName name="Print_Area" localSheetId="11">'IAS KZ 8'!$A$1:$P$18</definedName>
    <definedName name="Print_Area" localSheetId="12">'IAS KZ 9'!$A$1:$N$18</definedName>
    <definedName name="Print_Area" localSheetId="1">Inhaltsverzeichnis!$A$1:$H$32</definedName>
    <definedName name="Print_Area" localSheetId="2">'KIP Kennzahlen'!$A$1:$L$14</definedName>
    <definedName name="Print_Area" localSheetId="3">'Überblick IAS Kennzahlen'!$A$1:$P$35</definedName>
    <definedName name="Z_168849A9_FED9_4458_942F_290616B3A25C_.wvu.PrintArea" localSheetId="16" hidden="1">'Grundgesamtheiten IAS ab Mai 19'!$A$1:$AK$34</definedName>
    <definedName name="Z_168849A9_FED9_4458_942F_290616B3A25C_.wvu.PrintArea" localSheetId="17" hidden="1">'Grundgesamtheiten IAS alle'!$A$1:$AF$34</definedName>
    <definedName name="Z_168849A9_FED9_4458_942F_290616B3A25C_.wvu.PrintArea" localSheetId="4" hidden="1">'IAS KZ 1'!$A$1:$L$16</definedName>
    <definedName name="Z_168849A9_FED9_4458_942F_290616B3A25C_.wvu.PrintArea" localSheetId="13" hidden="1">'IAS KZ 11a'!$A$1:$M$17</definedName>
    <definedName name="Z_168849A9_FED9_4458_942F_290616B3A25C_.wvu.PrintArea" localSheetId="14" hidden="1">'IAS KZ 11b'!$A$1:$N$17</definedName>
    <definedName name="Z_168849A9_FED9_4458_942F_290616B3A25C_.wvu.PrintArea" localSheetId="5" hidden="1">'IAS KZ 2'!$A$1:$L$21</definedName>
    <definedName name="Z_168849A9_FED9_4458_942F_290616B3A25C_.wvu.PrintArea" localSheetId="6" hidden="1">'IAS KZ 3'!$A$1:$M$18</definedName>
    <definedName name="Z_168849A9_FED9_4458_942F_290616B3A25C_.wvu.PrintArea" localSheetId="7" hidden="1">'IAS KZ 4'!$A$1:$M$16</definedName>
    <definedName name="Z_168849A9_FED9_4458_942F_290616B3A25C_.wvu.PrintArea" localSheetId="8" hidden="1">'IAS KZ 5'!$A$1:$M$18</definedName>
    <definedName name="Z_168849A9_FED9_4458_942F_290616B3A25C_.wvu.PrintArea" localSheetId="9" hidden="1">'IAS KZ 6'!$A$1:$L$16</definedName>
    <definedName name="Z_168849A9_FED9_4458_942F_290616B3A25C_.wvu.PrintArea" localSheetId="10" hidden="1">'IAS KZ 7'!$A$1:$N$17</definedName>
    <definedName name="Z_168849A9_FED9_4458_942F_290616B3A25C_.wvu.PrintArea" localSheetId="11" hidden="1">'IAS KZ 8'!$A$1:$P$18</definedName>
    <definedName name="Z_168849A9_FED9_4458_942F_290616B3A25C_.wvu.PrintArea" localSheetId="12" hidden="1">'IAS KZ 9'!$A$1:$N$18</definedName>
    <definedName name="Z_168849A9_FED9_4458_942F_290616B3A25C_.wvu.PrintArea" localSheetId="1" hidden="1">Inhaltsverzeichnis!$A$1:$H$32</definedName>
    <definedName name="Z_168849A9_FED9_4458_942F_290616B3A25C_.wvu.PrintArea" localSheetId="2" hidden="1">'KIP Kennzahlen'!$A$1:$L$14</definedName>
    <definedName name="Z_168849A9_FED9_4458_942F_290616B3A25C_.wvu.PrintArea" localSheetId="3" hidden="1">'Überblick IAS Kennzahlen'!$A$1:$P$35</definedName>
    <definedName name="Z_168849A9_FED9_4458_942F_290616B3A25C_.wvu.Rows" localSheetId="16" hidden="1">'Grundgesamtheiten IAS ab Mai 19'!$36:$36</definedName>
    <definedName name="Z_168849A9_FED9_4458_942F_290616B3A25C_.wvu.Rows" localSheetId="17" hidden="1">'Grundgesamtheiten IAS alle'!$36:$36</definedName>
  </definedNames>
  <calcPr calcId="191029"/>
  <customWorkbookViews>
    <customWorkbookView name="Corina Bürgi - Persönliche Ansicht" guid="{168849A9-FED9-4458-942F-290616B3A25C}" mergeInterval="0" personalView="1" maximized="1" xWindow="2869" yWindow="-9" windowWidth="2902" windowHeight="1582"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8" l="1"/>
  <c r="J23" i="5" l="1"/>
  <c r="D8" i="7"/>
  <c r="V8" i="19" l="1"/>
  <c r="U8" i="19"/>
  <c r="R8" i="19"/>
  <c r="Q8" i="20"/>
  <c r="P8" i="20"/>
  <c r="M8" i="20"/>
  <c r="C8" i="6" l="1"/>
  <c r="C8" i="11" l="1"/>
  <c r="C8" i="16"/>
  <c r="C8" i="17"/>
  <c r="G34" i="5"/>
  <c r="G31" i="5"/>
  <c r="G30" i="5"/>
  <c r="G27" i="5"/>
  <c r="G23" i="5"/>
  <c r="G20" i="5"/>
  <c r="G12" i="5"/>
  <c r="G9" i="5"/>
  <c r="G17" i="5"/>
  <c r="G16" i="5"/>
  <c r="G15" i="5"/>
  <c r="G14" i="5"/>
  <c r="G13" i="5"/>
  <c r="G11" i="5"/>
  <c r="G10" i="5"/>
  <c r="C8" i="14"/>
  <c r="C8" i="13"/>
  <c r="C8" i="12"/>
  <c r="D10" i="10"/>
  <c r="D9" i="10"/>
  <c r="D8" i="10"/>
  <c r="C8" i="9"/>
  <c r="D9" i="8"/>
  <c r="D8" i="8"/>
  <c r="D10" i="8"/>
  <c r="D11" i="7"/>
  <c r="D10" i="7"/>
  <c r="D9" i="7"/>
  <c r="D12" i="7"/>
  <c r="M34" i="5"/>
  <c r="L34" i="5"/>
  <c r="K34" i="5"/>
  <c r="J34" i="5"/>
  <c r="M31" i="5"/>
  <c r="L31" i="5"/>
  <c r="K31" i="5"/>
  <c r="J31" i="5"/>
  <c r="M30" i="5"/>
  <c r="L30" i="5"/>
  <c r="K30" i="5"/>
  <c r="J30" i="5"/>
  <c r="M27" i="5"/>
  <c r="L27" i="5"/>
  <c r="K27" i="5"/>
  <c r="J27" i="5"/>
  <c r="M24" i="5"/>
  <c r="L24" i="5"/>
  <c r="K24" i="5"/>
  <c r="M23" i="5"/>
  <c r="L23" i="5"/>
  <c r="K23" i="5"/>
  <c r="M20" i="5"/>
  <c r="L20" i="5"/>
  <c r="K20" i="5"/>
  <c r="J20" i="5"/>
  <c r="M17" i="5"/>
  <c r="L17" i="5"/>
  <c r="K17" i="5"/>
  <c r="J17" i="5"/>
  <c r="M16" i="5"/>
  <c r="L16" i="5"/>
  <c r="K16" i="5"/>
  <c r="J16" i="5"/>
  <c r="M15" i="5"/>
  <c r="L15" i="5"/>
  <c r="K15" i="5"/>
  <c r="J15" i="5"/>
  <c r="M14" i="5"/>
  <c r="L14" i="5"/>
  <c r="K14" i="5"/>
  <c r="J14" i="5"/>
  <c r="M13" i="5"/>
  <c r="L13" i="5"/>
  <c r="K13" i="5"/>
  <c r="J13" i="5"/>
  <c r="M12" i="5"/>
  <c r="L12" i="5"/>
  <c r="K12" i="5"/>
  <c r="J12" i="5"/>
  <c r="M11" i="5"/>
  <c r="L11" i="5"/>
  <c r="K11" i="5"/>
  <c r="J11" i="5"/>
  <c r="M10" i="5"/>
  <c r="L10" i="5"/>
  <c r="K10" i="5"/>
  <c r="J10" i="5"/>
  <c r="M9" i="5"/>
  <c r="L9" i="5"/>
  <c r="K9" i="5"/>
  <c r="J9" i="5"/>
  <c r="M8" i="5"/>
  <c r="L8" i="5"/>
  <c r="K8" i="5"/>
  <c r="J8" i="5"/>
  <c r="G10" i="10" l="1"/>
  <c r="G10" i="8"/>
  <c r="G12" i="7"/>
  <c r="F36" i="19" l="1"/>
  <c r="C36" i="19"/>
  <c r="AE36" i="20" l="1"/>
  <c r="AB36" i="20"/>
  <c r="Z36" i="20"/>
  <c r="W36" i="20"/>
  <c r="U36" i="20"/>
  <c r="R36" i="20"/>
  <c r="M36" i="20"/>
  <c r="K36" i="20"/>
  <c r="H36" i="20"/>
  <c r="F36" i="20"/>
  <c r="C36" i="20"/>
  <c r="AJ36" i="19"/>
  <c r="AG36" i="19"/>
  <c r="AE36" i="19"/>
  <c r="AB36" i="19"/>
  <c r="Z36" i="19"/>
  <c r="W36" i="19"/>
  <c r="U36" i="19"/>
  <c r="R36" i="19"/>
  <c r="P36" i="19"/>
  <c r="M36" i="19"/>
  <c r="H36" i="19"/>
  <c r="K36" i="19"/>
  <c r="O34" i="5" l="1"/>
  <c r="N34" i="5"/>
  <c r="O31" i="5"/>
  <c r="N31" i="5"/>
  <c r="O30" i="5"/>
  <c r="N30" i="5"/>
  <c r="O27" i="5"/>
  <c r="N27" i="5"/>
  <c r="O24" i="5"/>
  <c r="N24" i="5"/>
  <c r="O23" i="5"/>
  <c r="N23" i="5"/>
  <c r="P36" i="20" l="1"/>
  <c r="I34" i="5" l="1"/>
  <c r="H34" i="5"/>
  <c r="I31" i="5"/>
  <c r="H31" i="5"/>
  <c r="I30" i="5"/>
  <c r="H30" i="5"/>
  <c r="I27" i="5"/>
  <c r="H27" i="5"/>
  <c r="I24" i="5" l="1"/>
  <c r="H24" i="5"/>
  <c r="G24" i="5" s="1"/>
  <c r="I23" i="5"/>
  <c r="H23" i="5"/>
  <c r="I20" i="5"/>
  <c r="H20" i="5"/>
  <c r="I17" i="5"/>
  <c r="H17" i="5"/>
  <c r="I16" i="5"/>
  <c r="H16" i="5"/>
  <c r="I15" i="5"/>
  <c r="H15" i="5"/>
  <c r="I14" i="5"/>
  <c r="H14" i="5"/>
  <c r="I13" i="5"/>
  <c r="H13" i="5"/>
  <c r="I12" i="5"/>
  <c r="I11" i="5"/>
  <c r="I10" i="5"/>
  <c r="H12" i="5"/>
  <c r="H11" i="5"/>
  <c r="H10" i="5"/>
  <c r="I9" i="5"/>
  <c r="H9" i="5"/>
  <c r="I8" i="5"/>
  <c r="H8" i="5"/>
  <c r="G8" i="5" l="1"/>
  <c r="C3" i="18"/>
  <c r="C3" i="17"/>
  <c r="C3" i="16"/>
  <c r="C3" i="14"/>
  <c r="C3" i="13"/>
  <c r="C3" i="12"/>
  <c r="C3" i="11"/>
  <c r="C3" i="10"/>
  <c r="C3" i="9"/>
  <c r="C3" i="8"/>
  <c r="C3" i="7"/>
  <c r="C3" i="6"/>
  <c r="F2" i="4"/>
  <c r="E2" i="5" s="1"/>
  <c r="H11" i="13" l="1"/>
  <c r="G11" i="13"/>
  <c r="G10" i="13"/>
  <c r="J11" i="10"/>
  <c r="G11" i="10"/>
  <c r="I11" i="10"/>
  <c r="F9" i="6"/>
  <c r="I9" i="6"/>
  <c r="H9" i="6"/>
  <c r="I9" i="11"/>
  <c r="F9" i="11"/>
  <c r="H9" i="11"/>
  <c r="I11" i="8"/>
  <c r="G11" i="8"/>
  <c r="J11" i="8"/>
  <c r="H10" i="14"/>
  <c r="I11" i="14"/>
  <c r="E10" i="14"/>
  <c r="H11" i="14"/>
  <c r="D10" i="14"/>
  <c r="F11" i="14"/>
  <c r="E11" i="14"/>
  <c r="D11" i="14"/>
  <c r="I10" i="14"/>
  <c r="F10" i="14"/>
  <c r="G13" i="7"/>
  <c r="J13" i="7"/>
  <c r="I13" i="7"/>
  <c r="H9" i="9"/>
  <c r="I9" i="9"/>
  <c r="F9" i="9"/>
  <c r="I10" i="18"/>
  <c r="E9" i="18"/>
  <c r="D9" i="18"/>
  <c r="H10" i="18"/>
  <c r="F10" i="18"/>
  <c r="E10" i="18"/>
  <c r="D10" i="18"/>
  <c r="I9" i="18"/>
  <c r="H9" i="18"/>
  <c r="F9" i="18"/>
  <c r="H9" i="17"/>
  <c r="E9" i="17"/>
  <c r="D9" i="17"/>
  <c r="D10" i="17"/>
  <c r="F9" i="17"/>
  <c r="I10" i="17"/>
  <c r="F10" i="17"/>
  <c r="E10" i="17"/>
  <c r="H10" i="17"/>
  <c r="I9" i="17"/>
  <c r="F9" i="16"/>
  <c r="E9" i="16"/>
  <c r="H10" i="16"/>
  <c r="D10" i="16"/>
  <c r="I10" i="16"/>
  <c r="D9" i="16"/>
  <c r="H9" i="16"/>
  <c r="F10" i="16"/>
  <c r="E10" i="16"/>
  <c r="I9" i="16"/>
  <c r="I9" i="12"/>
  <c r="H9" i="12"/>
  <c r="H10" i="12"/>
  <c r="F9" i="12"/>
  <c r="E9" i="12"/>
  <c r="D9" i="12"/>
  <c r="I10" i="12"/>
  <c r="F10" i="12"/>
  <c r="E11" i="13"/>
  <c r="E10" i="13"/>
  <c r="D11" i="13"/>
  <c r="H10" i="13"/>
  <c r="D10" i="13"/>
  <c r="E10" i="12"/>
  <c r="D10" i="12"/>
  <c r="E9" i="6"/>
  <c r="D9" i="6"/>
  <c r="F11" i="8"/>
  <c r="E11" i="8"/>
  <c r="E9" i="9"/>
  <c r="D9" i="9"/>
  <c r="E9" i="11"/>
  <c r="D9" i="11"/>
  <c r="F13" i="7"/>
  <c r="E13" i="7"/>
  <c r="F11" i="10"/>
  <c r="E11" i="10"/>
  <c r="D11" i="10" s="1"/>
  <c r="C9" i="6" l="1"/>
  <c r="C10" i="16"/>
  <c r="C11" i="14"/>
  <c r="C10" i="12"/>
  <c r="C10" i="17"/>
  <c r="D13" i="7"/>
  <c r="C9" i="16"/>
  <c r="C9" i="17"/>
  <c r="D11" i="8"/>
  <c r="C9" i="11"/>
  <c r="C10" i="18"/>
  <c r="C11" i="13"/>
  <c r="C10" i="14"/>
  <c r="C9" i="9"/>
  <c r="C10" i="13"/>
  <c r="C9" i="12"/>
  <c r="C9" i="18"/>
  <c r="J10" i="10"/>
  <c r="I10" i="10"/>
  <c r="H10" i="10"/>
  <c r="F10" i="10"/>
  <c r="E10" i="10"/>
  <c r="J10" i="8"/>
  <c r="I10" i="8"/>
  <c r="H10" i="8"/>
  <c r="F10" i="8"/>
  <c r="E10" i="8"/>
  <c r="J12" i="7"/>
  <c r="I12" i="7"/>
  <c r="H12" i="7"/>
  <c r="F12" i="7"/>
  <c r="E12" i="7"/>
</calcChain>
</file>

<file path=xl/sharedStrings.xml><?xml version="1.0" encoding="utf-8"?>
<sst xmlns="http://schemas.openxmlformats.org/spreadsheetml/2006/main" count="671" uniqueCount="248">
  <si>
    <t>Kanton</t>
  </si>
  <si>
    <t>Total</t>
  </si>
  <si>
    <t>Erstinformation und Integrationsförderbedarf</t>
  </si>
  <si>
    <t>Beratung</t>
  </si>
  <si>
    <t>Sprache und Bildung</t>
  </si>
  <si>
    <t>Frühe Kindheit</t>
  </si>
  <si>
    <t>Ausbildungs- und Arbeitsmarktfähigkeit</t>
  </si>
  <si>
    <t>Zusammenleben</t>
  </si>
  <si>
    <t>Nr.</t>
  </si>
  <si>
    <t xml:space="preserve">&lt; 1 Jahr kumulierte Arbeitserfahrung
</t>
  </si>
  <si>
    <t>eher ja</t>
  </si>
  <si>
    <t>eher nein</t>
  </si>
  <si>
    <t xml:space="preserve">Anzahl im Rahmen der durchgehenden Fallführung im Berichtsjahr neu eröffneter Dossiers.
</t>
  </si>
  <si>
    <t>Bemerkungen Kanton</t>
  </si>
  <si>
    <t>&gt;10 Jahre kumulierte Arbeitserfahrung</t>
  </si>
  <si>
    <t>Arbeitserfahrung</t>
  </si>
  <si>
    <t xml:space="preserve">Bildung </t>
  </si>
  <si>
    <t>Alphabetisierung</t>
  </si>
  <si>
    <t>Potenzial</t>
  </si>
  <si>
    <t>Eröffnete Dossiers</t>
  </si>
  <si>
    <t>Kennzahlen 
(IAS-Rundschreiben Kap. 7.2)</t>
  </si>
  <si>
    <t>Kennzahlen operationalisiert</t>
  </si>
  <si>
    <t xml:space="preserve">Erstinformation </t>
  </si>
  <si>
    <t>Sprachförderung Erwachsene</t>
  </si>
  <si>
    <t xml:space="preserve">Sprachförderung Vorschulkinder </t>
  </si>
  <si>
    <t>Förderung Ausbildungsfähigkeit</t>
  </si>
  <si>
    <t>Förderung Arbeitsmarktfähigkeit</t>
  </si>
  <si>
    <t>11a</t>
  </si>
  <si>
    <t>11b</t>
  </si>
  <si>
    <t>Erläuterungen</t>
  </si>
  <si>
    <t>Typ</t>
  </si>
  <si>
    <t>K</t>
  </si>
  <si>
    <t>L</t>
  </si>
  <si>
    <t>Z</t>
  </si>
  <si>
    <t xml:space="preserve">Nr. </t>
  </si>
  <si>
    <t>Sprachniveau Erwachsene</t>
  </si>
  <si>
    <t xml:space="preserve">Zusammenleben </t>
  </si>
  <si>
    <t>Kennzahlen
(KIP-Rundschreiben Kap. 7.1.2)</t>
  </si>
  <si>
    <t>GL</t>
  </si>
  <si>
    <t xml:space="preserve">Überblick IAS Kennzahlen </t>
  </si>
  <si>
    <t>Kanton:</t>
  </si>
  <si>
    <t xml:space="preserve">Total
</t>
  </si>
  <si>
    <t>Anzahl VA</t>
  </si>
  <si>
    <t>Anzahl N</t>
  </si>
  <si>
    <t>Anzahl Frauen</t>
  </si>
  <si>
    <t>Anzahl Männer</t>
  </si>
  <si>
    <t>Anzahl FL 
(inkl. VAFL)</t>
  </si>
  <si>
    <t>Frauen</t>
  </si>
  <si>
    <t>Männer</t>
  </si>
  <si>
    <t>Hinweise</t>
  </si>
  <si>
    <t>Operationalisierung</t>
  </si>
  <si>
    <t>Grundgesamtheit</t>
  </si>
  <si>
    <t>&gt;6 Jahre</t>
  </si>
  <si>
    <t>Anzahl im Rahmen der durchgehenden Fallführung im Berichtsjahr neu eröffneter Dossiers.</t>
  </si>
  <si>
    <t>FL/VA und Fallführung</t>
  </si>
  <si>
    <t>Anerkannter Sprach-nachweis</t>
  </si>
  <si>
    <t>Sprachlehr-person</t>
  </si>
  <si>
    <t>Anzahl Total</t>
  </si>
  <si>
    <t>AR</t>
  </si>
  <si>
    <t>VA</t>
  </si>
  <si>
    <t>AI</t>
  </si>
  <si>
    <t>Stand</t>
  </si>
  <si>
    <t>AG</t>
  </si>
  <si>
    <t>BE</t>
  </si>
  <si>
    <t>BL</t>
  </si>
  <si>
    <t>BS</t>
  </si>
  <si>
    <t>FR</t>
  </si>
  <si>
    <t>GE</t>
  </si>
  <si>
    <t>GR</t>
  </si>
  <si>
    <t>JU</t>
  </si>
  <si>
    <t>LU</t>
  </si>
  <si>
    <t>NE</t>
  </si>
  <si>
    <t>NW</t>
  </si>
  <si>
    <t>OW</t>
  </si>
  <si>
    <t>SG</t>
  </si>
  <si>
    <t>SH</t>
  </si>
  <si>
    <t>SO</t>
  </si>
  <si>
    <t>SZ</t>
  </si>
  <si>
    <t>TG</t>
  </si>
  <si>
    <t>TI</t>
  </si>
  <si>
    <t>UR</t>
  </si>
  <si>
    <t>VD</t>
  </si>
  <si>
    <t>VS</t>
  </si>
  <si>
    <t>ZG</t>
  </si>
  <si>
    <t>ZH</t>
  </si>
  <si>
    <t>Anzahl FL/VA im Alter ab 16 Jahren, die im Berichtsjahr im Rahmen der Erstinformation erreicht wurden.</t>
  </si>
  <si>
    <t xml:space="preserve">Anzahl FL/VA im Alter ab 16 Jahren, die im Berichtsjahr ein Angebot / eine Massnahme mit primären Ziel der Förderung der sozialen Integration besucht haben. </t>
  </si>
  <si>
    <t>Anzahl FL/VA im Vorschulalter, die im Berichtsjahr vor dem Eintritt in die obligatorische Schule an Massnahmen zur frühkindlichen Sprachförderung  teilgenommen haben.</t>
  </si>
  <si>
    <t>Anzahl FL/VA im Alter ab 19 Jahren, die drei Jahre nach ihrer Einreise in die Schweiz mündlich und schriftlich über ein Sprachniveau in der am Wohnort gesprochenen Sprache von mind. A1 nach GER verfügen.</t>
  </si>
  <si>
    <t>Anzahl FL/VA im Alter ab 16 Jahren, für die aufgrund einer ersten Einschätzung der fallführenden Person im Hinblick auf die Phase der Erstintegration tendenziell eher ein bzw. eher kein Potenzial zur Erlangung der Arbeitsmarktfähigkeit und/oder Ausbildungsfähigkeit besteht.</t>
  </si>
  <si>
    <t xml:space="preserve">Anzahl FL/VA im Alter ab 16 Jahren, die nicht alphabetisiert sind. </t>
  </si>
  <si>
    <t xml:space="preserve">Anzahl FL/VA im Alter ab 16 Jahren, die im Berichtsjahr im Rahmen der Erstinformation erreicht wurden. </t>
  </si>
  <si>
    <t>Register</t>
  </si>
  <si>
    <t>Inhalt</t>
  </si>
  <si>
    <t>Inhaltsverzeichnis</t>
  </si>
  <si>
    <t>KIP-Kennzahlen</t>
  </si>
  <si>
    <t>Überblick IAS-Kennzahlen</t>
  </si>
  <si>
    <t>Datum Freigabe durch Kanton:</t>
  </si>
  <si>
    <t>KIP Kennzahlen</t>
  </si>
  <si>
    <t>Erfassungsdatum:</t>
  </si>
  <si>
    <t>nur Sozialhilfe-abhängige</t>
  </si>
  <si>
    <t>ja</t>
  </si>
  <si>
    <t>nein</t>
  </si>
  <si>
    <t>keine Angabe</t>
  </si>
  <si>
    <t>Dropdownlisten</t>
  </si>
  <si>
    <t>Auswahl mit "keine Angabe"</t>
  </si>
  <si>
    <t>nur Sozialhilfe-
abhängige</t>
  </si>
  <si>
    <r>
      <t xml:space="preserve">Daten enthalten 
</t>
    </r>
    <r>
      <rPr>
        <sz val="11"/>
        <rFont val="Arial"/>
        <family val="2"/>
      </rPr>
      <t xml:space="preserve">(bitte Zutreffendes aus </t>
    </r>
    <r>
      <rPr>
        <u/>
        <sz val="11"/>
        <rFont val="Arial"/>
        <family val="2"/>
      </rPr>
      <t>Dropdownliste</t>
    </r>
    <r>
      <rPr>
        <sz val="11"/>
        <rFont val="Arial"/>
        <family val="2"/>
      </rPr>
      <t xml:space="preserve"> wählen)</t>
    </r>
  </si>
  <si>
    <r>
      <t xml:space="preserve">Einschätzung durch
</t>
    </r>
    <r>
      <rPr>
        <sz val="11"/>
        <rFont val="Arial"/>
        <family val="2"/>
      </rPr>
      <t xml:space="preserve">(bitte Zutreffendes aus </t>
    </r>
    <r>
      <rPr>
        <u/>
        <sz val="11"/>
        <rFont val="Arial"/>
        <family val="2"/>
      </rPr>
      <t>Dropdownliste</t>
    </r>
    <r>
      <rPr>
        <sz val="11"/>
        <rFont val="Arial"/>
        <family val="2"/>
      </rPr>
      <t xml:space="preserve"> wählen)</t>
    </r>
  </si>
  <si>
    <t>Altfälle 
(vor 1.5.19)</t>
  </si>
  <si>
    <t>Grundgesamtheit Kennzahl 8</t>
  </si>
  <si>
    <t>Grundgesamtheit Kennzahl 11a</t>
  </si>
  <si>
    <t>Grundgesamtheit Kennzahl 11b</t>
  </si>
  <si>
    <t>Grundgesamtheit Kennzahl 14</t>
  </si>
  <si>
    <t>Grundgesamtheit Kennzahl 7</t>
  </si>
  <si>
    <t>Grundgesamtheit Kennzahlen 1-6</t>
  </si>
  <si>
    <t>Indikator</t>
  </si>
  <si>
    <t>bitte auswählen</t>
  </si>
  <si>
    <t>Kontakt für Rückfragen:</t>
  </si>
  <si>
    <t>Grundgesamtheit Kennzahl 9</t>
  </si>
  <si>
    <t>SH ja/nein</t>
  </si>
  <si>
    <t>…..</t>
  </si>
  <si>
    <t>FL (inkl. VAFL)</t>
  </si>
  <si>
    <t>_</t>
  </si>
  <si>
    <t>-</t>
  </si>
  <si>
    <t>CH</t>
  </si>
  <si>
    <t>Gezählt werden sollen die Anzahl FL/VA, für die die fallführende Stelle im Berichtsjahr neu ein Dossier eröffnet hat.</t>
  </si>
  <si>
    <t xml:space="preserve">Daten enthalten:
</t>
  </si>
  <si>
    <t>Anzahl im Rahmen der durchgehenden Fallführung im Berichtsjahr neu eröffneter Dossiers</t>
  </si>
  <si>
    <t xml:space="preserve">≤ 1 Jahr kumulierte Arbeitserfahrung
</t>
  </si>
  <si>
    <t>&gt;1 ≤ 5 Jahre kumulierte Arbeitserfahrung</t>
  </si>
  <si>
    <t>&gt;5 ≤10 Jahre kumulierte Arbeitserfahrung</t>
  </si>
  <si>
    <t>≤6 Jahre</t>
  </si>
  <si>
    <t xml:space="preserve">Anzahl FL/VA im Alter ab 16 Jahren mit Schulbesuch
- bis und mit 6 Jahren (0-72 Monate)
- ab 6 Jahren (ab 73 Monaten)
</t>
  </si>
  <si>
    <t>Anzahl FL/VA im Alter ab 16 Jahren mit Schulbesuch:
- bis und mit 6 Jahren
- ab 6 Jahren</t>
  </si>
  <si>
    <t>Anzahl FL/VA im Alter ab 16 Jahren mit kumulierter Arbeitserfahrung von: 
- ≤ 1 Jahr
- &gt;1 ≤ 5 Jahre kumulierte Arbeitserfahrung
- &gt;5 ≤10 Jahre kumulierte Arbeitserfahrung 
- &gt;10 Jahre kumulierte Arbeitserfahrung</t>
  </si>
  <si>
    <t>&gt; 1 ≤  5 Jahre kumulierte Arbeitserfahrung</t>
  </si>
  <si>
    <t xml:space="preserve">&gt; 5 ≤ 10 Jahre kumulierte Arbeitserfahrung </t>
  </si>
  <si>
    <t>&gt; 10 Jahre kumulierte Arbeitserfahrung</t>
  </si>
  <si>
    <t xml:space="preserve">Anzahl FL/VA im Alter ab 16 Jahren mit kumulierter Arbeitserfahrung:
- ≤ 1 Jahr
- &gt; 1 ≤  5 Jahre kumulierte Arbeitserfahrung
- &gt; 5 ≤1 0 Jahre kumulierte Arbeitserfahrung 
- &gt; 10 Jahre kumulierte Arbeitserfahrung </t>
  </si>
  <si>
    <t>E-Mail:</t>
  </si>
  <si>
    <t xml:space="preserve">Name: </t>
  </si>
  <si>
    <t>Tel.</t>
  </si>
  <si>
    <t>IAS Kennzahl 1 "Erstinformation"</t>
  </si>
  <si>
    <t>IAS Kennzahl 2 "Arbeitserfahrung"</t>
  </si>
  <si>
    <t>IAS Kennzahl 3 "Bildung"</t>
  </si>
  <si>
    <t>IAS Kennzahl 4 "Alphabetisierung"</t>
  </si>
  <si>
    <t>IAS Kennzahl 5 "Potenzial"</t>
  </si>
  <si>
    <t>IAS Kennzahl 6 "Eröffnete Dossiers"</t>
  </si>
  <si>
    <t>IAS Kennzahl 7 "Sprachförderung Erwachsene"</t>
  </si>
  <si>
    <t>IAS Kennzahl 8 "Sprachniveau Erwachsene"</t>
  </si>
  <si>
    <t>IAS Kennzahl 9 "Sprachförderung Vorschulkinder"</t>
  </si>
  <si>
    <t>IAS Kennzahl 11a "Förderung Ausbildungsfähigkeit 16-25-Jährige"</t>
  </si>
  <si>
    <t>IAS Kennzahl 11b "Förderung Arbeitsmarktfähigkeit 26-55-Jährige"</t>
  </si>
  <si>
    <t>IAS Kennzahl 14 "Zusammenleben"</t>
  </si>
  <si>
    <t>IAS Grundgesamtheit: FL/VA mit Entscheid ab 1. Mai 2019 (Inkrafttreten der IAS)</t>
  </si>
  <si>
    <t>Altfälle ja/nein</t>
  </si>
  <si>
    <t>Altfälle 
(Entscheid vor 1.5.19)</t>
  </si>
  <si>
    <t>Kontrolle</t>
  </si>
  <si>
    <t>IAS Kennzahl 1: "Erstinformation" - Leistungsindikator</t>
  </si>
  <si>
    <t>IAS Kennzahl 3: "Bildung" - Kontextindikator</t>
  </si>
  <si>
    <t>IAS Kennzahl 4: "Alphabetisierung" - Kontextindikator</t>
  </si>
  <si>
    <t>IAS Kennzahl 5: "Potenzial" - Kontextindikator</t>
  </si>
  <si>
    <t>IAS Kennzahl 6: "Eröffnete Dossiers" - Leistungsindikator</t>
  </si>
  <si>
    <t>IAS Kennzahl 7: "Sprachförderung Erwachsene" - Leistungsindikator</t>
  </si>
  <si>
    <t>IAS Kennzahl 8: "Sprachniveau Erwachsene" - Zielindikator</t>
  </si>
  <si>
    <t>IAS Kennzahl 9: "Sprachförderung Vorschulkinder" - Leistungsindikator</t>
  </si>
  <si>
    <t>IAS Kennzahl 11a: "Förderung Ausbildungsfähigkeit" - Leistungsindikator</t>
  </si>
  <si>
    <t>IAS Kennzahl 11b: "Förderung Arbeitsfähigkeit" - Leistungsindikator</t>
  </si>
  <si>
    <t>IAS Kennzahl 14: "Zusammenleben" - Leistungsindikator</t>
  </si>
  <si>
    <t>IAS Kennzahl 2: "Arbeitserfahrung" - Kontextindikator</t>
  </si>
  <si>
    <t>Der Kanton vermerkt in der Spalte Bemerkungen, welche Angebotstypen / Massnahmen er bei der Erfassung dieser Kennzahl berücksichtigt. Dabei soll es sich ausschliesslich um Massnahmen handeln, die mit dem primären Ziel der Förderung der sozialen Integration besucht werden. 
Tritt eine Person im Berichtsjahr in zwei oder mehr Angebote ein, werden beide bzw. alle Eintritte gezählt. Unterbrüche/Abbrüche etc. sind bei der Zählung nicht zu berücksichtigen.</t>
  </si>
  <si>
    <t>Anzahl Personen</t>
  </si>
  <si>
    <t>Anzahl Fälle</t>
  </si>
  <si>
    <t>Eintritte oder Personen erfasst</t>
  </si>
  <si>
    <t>Anzahl FL/VA im Berichtsjahr in der Fallführung, im Vorschulalter
Gezählt werden sollen besuchte Massnahmen, in denen die Sprachbildung der Kinder gefördert wird.</t>
  </si>
  <si>
    <t>Anzahl Eintritte</t>
  </si>
  <si>
    <t>Anzahl Personen mit mindestens einem Eintritt</t>
  </si>
  <si>
    <t xml:space="preserve">Gezählt werden sollen alle FL/VA, die im Berichtsjahr im Rahmen der Erstinformation erreicht wurden, unabhängig davon, ob sie im Berichtsjahr oder im Vorjahr einen Asylentscheid mit Aufenthaltsbewilligung erhalten haben. 
Zur Erstinformation zählen ausschliesslich bilaterale (Erst-)Gespräche und Informationsveranstaltungen. 
Es wird davon ausgegangen, dass die Erstinformation innerhalb von wenigen Monaten nach Zuweisung und nur einmalig erfolgt. Je nach Kanton erfolgt die Erstinformation bereits während des laufenden (erweiterten) Asylverfahrens oder erst nach Asylentscheid.  
</t>
  </si>
  <si>
    <t>Gezählt werden sollen alle FL/VA, die in ihrer Erstsprache über keine Schriftkenntnisse verfügen..
Berücksichtigt werden sollen die FL/VA in der Fallführung, mit welchen im Berichtsjahr eine erste individuelle Ressourcenabschätzung bzw. ein Erstgespräch durchgeführt wurde.
Die Angaben bei Kennzahlen 2-5 basieren auf einer Einschätzung der fallführenden Person aufgrund der durch die VA/FL gemachten Angaben und müssen nicht vertieft überprüft worden sein. Zum Zweck der Kennzahlerhebung genügt eine einmalige Erfassung dieser Angaben.</t>
  </si>
  <si>
    <t xml:space="preserve">Berücksichtigt werden sollen jene FL/VA in der Fallführung, mit welchen im Berichtsjahr eine erste individuelle Ressourcenabschätzung bzw. ein Erstgespräch durchgeführt wurde. Je nach Kanton erfolgt die erste individuelle Ressourcenabschätzung bzw. das Erstgespräch im Rahmen der Falleröffnung.
Die Angaben bei Kennzahlen 2-5 basieren auf einer Einschätzung der fallführenden Person aufgrund der durch die VA/FL gemachten Angaben und müssen nicht vertieft überprüft worden sein. Zum Zweck der Kennzahlerhebung genügt eine einmalige Erfassung dieser Angaben.
</t>
  </si>
  <si>
    <t>Anzahl S</t>
  </si>
  <si>
    <t>S</t>
  </si>
  <si>
    <t>Kennzahlenraster KIP / IAS - Berichtsjahr 2022</t>
  </si>
  <si>
    <t xml:space="preserve">Anzahl FL/VA im Alter ab 16 Jahren, die im Berichtsjahr in ein Sprachförderangebot eingetreten sind. 
</t>
  </si>
  <si>
    <t xml:space="preserve">Anzahl FL/VA im Alter ab 16 Jahren, die im Berichtsjahr in ein Sprachförderangebot eingetreten sind. </t>
  </si>
  <si>
    <t>Daten enthalten FL/VA</t>
  </si>
  <si>
    <r>
      <t xml:space="preserve">Anzahl der im Rahmen der </t>
    </r>
    <r>
      <rPr>
        <b/>
        <sz val="11"/>
        <rFont val="Arial"/>
        <family val="2"/>
      </rPr>
      <t>Erstinformation</t>
    </r>
    <r>
      <rPr>
        <sz val="11"/>
        <rFont val="Arial"/>
        <family val="2"/>
      </rPr>
      <t xml:space="preserve"> erreichten Personen</t>
    </r>
  </si>
  <si>
    <t>IAS Grundgesamtheiten: Bestand FL/VA</t>
  </si>
  <si>
    <r>
      <t xml:space="preserve">IAS Grundgesamtheit: FL/VA mit Entscheid im Berichtsjahr (Register </t>
    </r>
    <r>
      <rPr>
        <b/>
        <sz val="11"/>
        <rFont val="Arial"/>
        <family val="2"/>
      </rPr>
      <t>16</t>
    </r>
    <r>
      <rPr>
        <b/>
        <sz val="11"/>
        <color rgb="FF5F2C09"/>
        <rFont val="Arial"/>
        <family val="2"/>
      </rPr>
      <t xml:space="preserve">)*
</t>
    </r>
  </si>
  <si>
    <t xml:space="preserve">Für Berichtsjahr 2022: Anzahl FL/VA mit Geburtsdatum 31.12.2006 und älter, die im Berichtsjahr im Rahmen der Erstinformation erreicht wurden. </t>
  </si>
  <si>
    <t xml:space="preserve">Grundgesamtheit aus ZEMIS-Daten für Berichtsjahr 2022 zur Überprüfung der Plausibilität und Vergleich der Angaben zwischen den Kantonen (gilt für alle Kennzahlen 1-6): Anzahl FL/VA mit Geburtsdatum 31.12.2006 und älter, die im Berichtsjahr einen Asylentscheid mit Aufenthaltsbewilligung erhalten haben und zum Einreisezeitpunkt mindestens 16 Jahre alt waren. </t>
  </si>
  <si>
    <t>Für Berichtsjahr 2022: Anzahl FL/VA mit Geburtsdatum 31.12.2006 und älter, mit kumulierter Arbeitserfahrung von 
- ≤ 1 Jahr
- &gt;1 ≤ 5 Jahre kumulierte Arbeitserfahrung
- &gt;5 ≤10 Jahre kumulierte Arbeitserfahrung 
- &gt;10 Jahre kumulierte Arbeitserfahrung</t>
  </si>
  <si>
    <t>Berücksichtigt werden sollen jene FL/VA in der Fallführung, mit welchen im Berichtsjahr eine erste individuelle Ressourcenabschätzung bzw. ein Erstgespräch durchgeführt wurde. Je nach Kanton erfolgt die erste individuelle Ressourcenabschätzung bzw. das Erstgespräch im Rahmen der Falleröffnung. 
Angerechnet werden soll jegliche entlöhnte Arbeitserfahrung im Ausland, im Herkunftsland, auf der Flucht oder in der Schweiz. Dazu zählen auch die im Rahmen einer Ausbildung gemachten Arbeitserfahrungen. 
Spätestens ab KIP 3 (ab Berichtsjahr 2024) sollen die Kantone die Anzahl Jahre Arbeitserfahrung als numerischen Wert erfassen und im Kennzahlenraster ausweisen.
Die Angaben bei Kennzahlen 2-5 basieren auf einer Einschätzung der fallführenden Person aufgrund der durch die VA/FL gemachten Angaben und müssen nicht vertieft überprüft worden sein. Zum Zweck der Kennzahlerhebung genügt eine einmalige Erfassung dieser Angaben.</t>
  </si>
  <si>
    <t>Berücksichtigt werden sollen jene FL/VA in der Fallführung, mit welchen im Berichtsjahr eine erste individuelle Ressourcenabschätzung bzw. ein Erstgespräch durchgeführt wurde.
Die Örtlichkeit des Schulbesuchs ist irrelevant, das heisst der Schulbesuch kann im Herkunftsland, auf der Flucht oder anderswo ausserhalb der Schweiz stattgefunden haben. 
Spätestens ab KIP 3 (ab Berichtsjahr 2024) sollen die Kantone die Anzahl absolvierte Schuljahre als numerischen Wert erfassen und im Kennzahlenraster ausweisen.
Die Angaben bei Kennzahlen 2-5 basieren auf einer Einschätzung der fallführenden Person aufgrund der durch die VA/FL gemachten Angaben und müssen nicht vertieft überprüft worden sein. Zum Zweck der Kennzahlerhebung genügt eine einmalige Erfassung dieser Angaben.</t>
  </si>
  <si>
    <t xml:space="preserve">Für Berichtsjahr 2022: Anzahl FL/VA mit Geburtsdatum 31.12.2006 und älter, mit Schulbesuch während
- bis und mit 6 Jahren (0-72 Monate)
- ab 6 Jahren (ab 73 Monaten)
</t>
  </si>
  <si>
    <t>Für Berichtsjahr 2022: Anzahl FL/VA mit Geburtsdatum 31.12.2006 und älter, die nicht alphabetisiert sind.</t>
  </si>
  <si>
    <t>Für Berichtsjahr 2022: Anzahl FL/VA mit Geburtsdatum 31.12.2006 und älter, für die aufgrund einer ersten Einschätzung der fallführenden Person im Hinblick auf die Phase der Erstintegration tendenziell eher ein Potenzial bzw. tendenziell eher kein Potenzial zur Erlangung der Arbeitsmarktfähigkeit und/oder Ausbildungsfähigkeit besteht.</t>
  </si>
  <si>
    <t>Für Berichtsjahr 2022: Anzahl FL/VA mit Geburtsdatum 31.12.2006 und älter, die im Berichtsjahr in ein Sprachförderangebot eingetreten sind.</t>
  </si>
  <si>
    <t>Gezählt werden alle FL/VA, die im Berichtsjahr aufgrund einer Zuweisung durch die fallführende Stelle in ein Sprachförderangebot eingetreten sind. Jede Person wird nur einmal gezählt, auch wenn sie in mehrere Sprachförderangebote eingetreten ist.
Wird ein Angebot unterbrochen oder abgebrochen, wird der Eintritt trotzdem gezählt.
Ab KIP 3 (ab Berichtsjahr 2024) sollen die Kantone die Anzahl FL/VA nach Einreisejahr differenzieren und im Kennzahlenraster ausweisen. Die erste auszweisende Einreisekohrte ist diejenige des Jahres 2018 (2024: 7 Jahre in CH).</t>
  </si>
  <si>
    <t>Grundgesamtheit aus ZEMIS-Daten für Berichtsjahr 2022 zur Überprüfung der Plausibilität und Vergleich der Angaben zwischen den Kantonen: Anzahl FL/VA mit Geburtsdatum 31.12.2006 und älter, die ab dem 1.1. 2016 eingereist sind und zum Einreisezeitpunkt mindestens 16 Jahre alt waren.</t>
  </si>
  <si>
    <t xml:space="preserve">Für Berichtsjahr 2022: Anzahl FL/VA mit Geburtsdatum 31.12.2002 und älter, die drei Jahre nach ihrer Einreise in die Schweiz (1.1.-31.12.2019) mündlich und schriftlich über ein Sprachniveau in der am Wohnort gesprochenen Sprache von mind. A1 nach GER verfügen.
</t>
  </si>
  <si>
    <t>Anzahl FL/VA im Berichtsjahr in der Fallführung, im Alter ab 19 Jahren, 3 Jahre vor dem Berichtsjahr in die Schweiz eingereist (Einreisekohorte)
Falls möglich, gibt der Kanton an, wie die Einschätzung des Sprachniveaus erfolgt (Mehrfachauswahl möglich):
• Anerkannter Sprachnachweis
• Sprachlehrperson
• gemeinsam durch FL/VA und Fallführung
Ab KIP 3 (ab Berichtsjahr 2024) wird den Kantonen empfohlen, das Sprachniveau der FL/VA zu erfassen. Die Angabe im Kennzahlenraster (Anz. FL/VA mit Sprachniveau A1/A2, Anz. FL/VA mit Sprachniveau B1/B2, Anz. FL/VA mit Sprachniveau C1/C2) bleibt aber freiwillig.</t>
  </si>
  <si>
    <t>Grundgesamtheit aus ZEMIS-Daten für Berichtsjahr 2022 zur Überprüfung der Plausibilität und Vergleich der Angaben zwischen den Kantonen: Anzahl FL/VA mit Geburtsdatum 31.12.2002 und älter, die zwischen dem 1.1. und dem 31.12.2019 eingereist sind.</t>
  </si>
  <si>
    <t>Für Berichtsjahr 2022: Anzahl FL/VA im Vorschulalter (mit Geburtsdatum zwischen 1.8.2018-31.12.2022), die im Berichtsjahr vor dem Eintritt in die obligatorische Schule an Massnahmen zur frühkindlichen Sprachförderung teilgenommen haben.</t>
  </si>
  <si>
    <t>Grundgesamtheit aus ZEMIS-Daten für Berichtsjahr 2022 zur Überprüfung der Plausibilität und Vergleich der Angaben zwischen den Kantonen: Anzahl FL/VA mit Geburtsdatum zwischen 1.8.2018-31.12.2022.</t>
  </si>
  <si>
    <t>Für Berichtsjahr 2022: Anzahl 16-25-jährige FL/VA (mit Geburtsdatum zwischen 1.1.1997 und 31.12.2006), die im Berichtsjahr in ein Angebot zur Förderung der Ausbildungs- und/oder Arbeitsmarktfähigkeit eingetreten sind.</t>
  </si>
  <si>
    <r>
      <t>Gezählt werden alle FL/VA, die im Berichtsjahr in ein Angebot zur Förderung der Ausbildungsfähigkeit (bzw. der Arbeitsmarktfähigkeit) eingetreten sind. Jede Person wird nur einmal gezählt, auch wenn sie in mehrere Förderangebote eingetreten ist. Wird ein Angebot unterbrochen oder abgebrochen, wird der Eintritt trotzdem gezählt.
I.d.R.</t>
    </r>
    <r>
      <rPr>
        <strike/>
        <sz val="11"/>
        <rFont val="Arial"/>
        <family val="2"/>
      </rPr>
      <t xml:space="preserve"> </t>
    </r>
    <r>
      <rPr>
        <sz val="11"/>
        <rFont val="Arial"/>
        <family val="2"/>
      </rPr>
      <t xml:space="preserve">handelt es sich um Angebote zur Förderung der Grundkompetenzen (Alltagsmathematik und IKT) sowie weitere Angebote zur Vorbereitung auf die (berufliche Grund-) Bildung und die Angebote der Nahtstelle 1 ("Brückenangebote"). 
Eine klare Trennung von Angeboten zur Förderung der Ausbildungsfähigkeit und Angeboten zur Förderung der Arbeitsmarktfähigkeit ist in der Praxis i.d.R. nicht möglich. Letztlich entscheidet die fallführende Stelle (aufgrund des individuellen Integrationsplans des FL/VA), ob das Angebot X mit dem Ziel der Förderung der Ausbildungs- bzw. der Förderung der Arbeitsmarktfähigkeit besucht wird. Grundsätzlich steht gemäss IAS für 16-25jährige FL/VA die Förderung der Ausbildungsfähigkeit im Vordergrund, für 26-55jährige die Förderung der Arbeitsmarktfähigkeit. Bei Kennzahl 11 wird deshalb nach diesen Altersgruppen unterschieden.
Der Kanton vermerkt in der Spalte Bemerkungen, welche Angebotstypen er bei der Erfassung dieser Kennzahl berücksichtigt. Nicht mitgezählt werden sollen FL/VA in Angeboten, die primär der Sprachförderung dienen.
</t>
    </r>
  </si>
  <si>
    <r>
      <t>Grundgesamtheit aus ZEMIS-Daten für Berichtsjahr 2022 zur Überprüfung der Plausibilität und Vergleich der Angaben zwischen den Kantonen: Bestand der Anzahl FL/VA</t>
    </r>
    <r>
      <rPr>
        <strike/>
        <sz val="11"/>
        <rFont val="Arial"/>
        <family val="2"/>
      </rPr>
      <t xml:space="preserve"> </t>
    </r>
    <r>
      <rPr>
        <sz val="11"/>
        <rFont val="Arial"/>
        <family val="2"/>
      </rPr>
      <t>mit Geburtsdatum zwischen 1.1.1997 und 31.12.2006, die ab dem 1.1.2016 eingereist sind und zum Einreisezeitpunkt mindestens 16 Jahre alt waren.</t>
    </r>
  </si>
  <si>
    <t>Anzahl 16-25-jährige FL/VA, die im Berichtsjahr in ein Angebot zur Förderung der Ausbildungs- und/oder Arbeitsmarktfähigkeit eingetreten sind.</t>
  </si>
  <si>
    <t>Anzahl 26-55-jährige FL/VA, die im Berichtsjahr in ein Angebot zur Förderung der Ausblidungs- und/oder Arbeitsmarktfähigkeit eingetreten sind.</t>
  </si>
  <si>
    <t xml:space="preserve">Für Berichtsjahr 2022: Anzahl 26-55-jährige FL/VL (mit Geburtsdatum zwischen 1.1.1967 und 31.12.1996), die im Berichtsjahr in ein Angebot zur Förderung der Arbeitsmarktfähigkeit (bzw. Ausbildungsfähigkeit) eingetreten sind. </t>
  </si>
  <si>
    <t>Gezählt werden alle FL/VA, die im Berichtsjahr in ein Angebot zur Förderung der Arbeitsmarktfähigkeit (bzw. der Ausbildungsfähigkeit) eingetreten sind. Jede Person wird nur einmal gezählt, auch wenn sie in mehrere Förderangebote eingetreten ist. Wird ein Angebot unterbrochen oder abgebrochen, wird der Eintritt trotzdem gezählt. 
I.d.R. handelt es sich um Qualifizierungsangebote im ersten oder zweiten Arbeitsmarkt.
Eine klare Trennung von Angeboten zur Förderung der Ausbildungsfähigkeit und Angeboten zur Förderung der Arbeitsmarktfähigkeit ist in der Praxis i.d.R. nicht möglich. Letztlich entscheidet die fallführende Stelle (aufgrund des individuellen Integrationsplans des/der FL/VA), ob das Angebots X mit dem Ziel der der Förderung der Ausbildungs- bzw. der Förderung der Arbeitsmarktfähigkeit besucht wird. Grundsätzlich steht gemäss IAS für 16-25jährige FL/VA die Förderung der Ausbildungsfähigkeit im Vordergrund, für 26-55jährige die Förderung der Arbeitsmarktfähigkeit. Bei Kennzahl 11 wird deshalb nach diesen Altersgruppen unterschieden.
Der Kanton vermerkt in der Spalte Bemerkungen, welche Angebotstypen er bei der Erfassung dieser Kennzahl berücksichtigt. Nicht mitgezählt werden sollen FL/VA in Angeboten, die primär der Sprachförderung dienen.</t>
  </si>
  <si>
    <r>
      <t>Grundgesamtheit aus ZEMIS-Daten für Berichtsjahr 2022 zur Überprüfung der Plausibilität und Vergleich der Angaben zwischen den Kantonen: Bestand der Anzahl FL/VA</t>
    </r>
    <r>
      <rPr>
        <strike/>
        <sz val="11"/>
        <rFont val="Arial"/>
        <family val="2"/>
      </rPr>
      <t xml:space="preserve"> </t>
    </r>
    <r>
      <rPr>
        <sz val="11"/>
        <rFont val="Arial"/>
        <family val="2"/>
      </rPr>
      <t>mit Geburtsdatum zwischen 1.1.1967 und 31.12.1996, die ab dem 1.1.2016 eingereist sind.</t>
    </r>
  </si>
  <si>
    <t>Für Berichtsjahr 2022: Anzahl FL/VA mit Geburtsdatum 31.12.2006 und älter, die im Berichtsjahr ein Angebot / eine Massnahme mit primären Ziel der Förderung der sozialen Integration besucht haben.</t>
  </si>
  <si>
    <t>Grundgesamtheit aus ZEMIS-Daten für Berichtsjahr 2022 zur Überprüfung der Plausibilität und Vergleich der Angaben zwischen den Kantonen: Bestand der Anzahl FL/VA mit Geburtsdatum 31.12.2006 und älter, die ab dem 1.1.2016 eingereist sind.</t>
  </si>
  <si>
    <r>
      <t xml:space="preserve">Quelle: SEM/ZEMIS, </t>
    </r>
    <r>
      <rPr>
        <b/>
        <u/>
        <sz val="11"/>
        <rFont val="Arial"/>
        <family val="2"/>
      </rPr>
      <t>Stichtag: 31.12.2022</t>
    </r>
    <r>
      <rPr>
        <b/>
        <sz val="11"/>
        <rFont val="Arial"/>
        <family val="2"/>
      </rPr>
      <t xml:space="preserve"> </t>
    </r>
  </si>
  <si>
    <t xml:space="preserve">Anzahl FL/VA mit Geburtsdatum 31.12.2006 und älter, die 2022 einen Asylentscheid mit Aufenthaltsbewilligung erhalten haben und zum Einreisezeitpunkt mindestens 16 Jahre alt waren. </t>
  </si>
  <si>
    <t>Bestand der Anzahl FL/VA mit Geburtsdatum 31.12.2006 und älter, die ab dem 1.1.2016 eingereist sind und zum Einreisezeitpunkt mindestens 16 Jahre alt waren.</t>
  </si>
  <si>
    <t>Bestand der Anzahl FL/VA mit Geburtsdatum 31.12.2002 und älter, die zwischen dem 1.1. und dem 31.12.2019 eingereist sind.</t>
  </si>
  <si>
    <t>Bestand der Anzahl FL/VA mit Geburtsdatum zwischen 1.8.2018-31.12.2022.</t>
  </si>
  <si>
    <t xml:space="preserve">Bestand der Anzahl FL/VA mit Geburtsdatum zwischen 1.1.1997 und 31.12.2006, die ab dem 1.1.2016 eingereist sind und zum Einreisezeitpunkt mindestens 16 Jahre alt waren. </t>
  </si>
  <si>
    <t>Bestand der Anzahl FL/VA mit Geburtsdatum zwischen 1.1.1967 und 31.12.1996, die ab dem 1.1.2016 eingereist sind.</t>
  </si>
  <si>
    <t>Bestand der Anzahl FL/VA mit Geburtsdatum 31.12.2006 und älter, die ab dem 1.1.2016 eingereist sind.</t>
  </si>
  <si>
    <r>
      <t xml:space="preserve">Quelle: SEM/ZEMIS, </t>
    </r>
    <r>
      <rPr>
        <b/>
        <u/>
        <sz val="11"/>
        <rFont val="Arial"/>
        <family val="2"/>
      </rPr>
      <t>Stichtag: 31.12.2022</t>
    </r>
  </si>
  <si>
    <t>Bestand der Anzahl FL/VA mit Geburtsdatum zwischen 1.1.1997 und 31.12.2006, die ab dem 1.1.2016 eingereist sind und zum Einreisezeitpunkt mindestens 16 Jahre alt waren.</t>
  </si>
  <si>
    <t>Anzahl AusländerInnen mit Ausweis B, C (ausserhalb des Asyl- und Flüchtlingsbereichs) und L, mit denen im Berichtsjahr ein bilaterales Erstgespräch durchgeführt wurde oder die an einer Informationsveranstaltung teilgenommen haben.</t>
  </si>
  <si>
    <r>
      <t xml:space="preserve">Anzahl Personen mit Beratungsgesprächen im Förderbereich </t>
    </r>
    <r>
      <rPr>
        <b/>
        <sz val="11"/>
        <rFont val="Arial"/>
        <family val="2"/>
      </rPr>
      <t>Beratung</t>
    </r>
  </si>
  <si>
    <t>Anzahl AusländerInnen mit Ausweis B, C (ausserhalb des Asyl- und Flüchtlingsbereichs) und L, mit denen im Berichtsjahr ein Beratungsgespräch aus Mitteln des Förderbereichs Beratung durchgeführt wurde.</t>
  </si>
  <si>
    <t xml:space="preserve">Gezählt werden sollen alle Personen, mit denen im Berichtsjahr im Rahmen der im Förderbereich "Beratung" zur Verfügung stehenden Mittel ein Beratungsgespräch durchgeführt wurde. </t>
  </si>
  <si>
    <r>
      <t xml:space="preserve">Anzahl Personen mit Beratungsgesprächen im Förderbereich </t>
    </r>
    <r>
      <rPr>
        <b/>
        <sz val="11"/>
        <rFont val="Arial"/>
        <family val="2"/>
      </rPr>
      <t>Schutz vor Diskriminierung</t>
    </r>
  </si>
  <si>
    <t>Anzahl AusländerInnen mit Ausweis B, C (ausserhalb des Asyl- und Flüchtlingsbereichs) und L, mit denen im Berichtsjahr ein Beratungsgespräch aus Mitteln des Förderbereichs "Schutz vor Diskriminierung" durchgeführt wurde.</t>
  </si>
  <si>
    <t xml:space="preserve">Gezählt werden sollen alle Personen mit denen im Berichtsjahr im Rahmen der im Förderbereich "Schutz vor Diskriminierung" zur Verfügung stehenden Mittel ein Beratungsgespräch durchgeführt wurde. </t>
  </si>
  <si>
    <r>
      <t xml:space="preserve">Anzahl Personen in einem </t>
    </r>
    <r>
      <rPr>
        <b/>
        <sz val="11"/>
        <rFont val="Arial"/>
        <family val="2"/>
      </rPr>
      <t>Sprachförderangebot</t>
    </r>
  </si>
  <si>
    <t>Anzahl AusländerInnen mit Ausweis B, C (ausserhalb des Asyl- und Flüchtlingsbereichs) und L, die im Berichtsjahr in ein Sprachförderangebot eingetreten sind.</t>
  </si>
  <si>
    <r>
      <t xml:space="preserve">Gezählt werden sollen alle Personen, die im Berichtsjahr ein Sprachförderangebot besucht haben. Jede Person wird nur einmal gezählt, auch wenn sie in mehrere Sprachförderangebote eingetreten ist. Wird ein Angebot unterbrochen oder abgebrochen, wird der Eintritt trotzdem gezählt.
</t>
    </r>
    <r>
      <rPr>
        <strike/>
        <sz val="11"/>
        <rFont val="Arial"/>
        <family val="2"/>
      </rPr>
      <t xml:space="preserve">
</t>
    </r>
    <r>
      <rPr>
        <sz val="11"/>
        <rFont val="Arial"/>
        <family val="2"/>
      </rPr>
      <t>Der Kanton vermerkt in der Spalte Bemerkungen,</t>
    </r>
    <r>
      <rPr>
        <i/>
        <sz val="11"/>
        <rFont val="Arial"/>
        <family val="2"/>
      </rPr>
      <t xml:space="preserve"> </t>
    </r>
    <r>
      <rPr>
        <sz val="11"/>
        <rFont val="Arial"/>
        <family val="2"/>
      </rPr>
      <t xml:space="preserve">welche Sprachförderangebote er bei der Erfassung dieser Kennzahl berücksichtigt. </t>
    </r>
  </si>
  <si>
    <r>
      <t xml:space="preserve">Anzahl Personen in einem Angebot im Förderbereich </t>
    </r>
    <r>
      <rPr>
        <b/>
        <sz val="11"/>
        <rFont val="Arial"/>
        <family val="2"/>
      </rPr>
      <t>Arbeitsmarktfähigkeit</t>
    </r>
  </si>
  <si>
    <t>Anzahl AusländerInnen mit Ausweis B, C (ausserhalb des Asyl- und Flüchtlingsbereichs) oder L, die im Berichtsjahr in ein Angebot zur Förderung der Arbeitsmarktfähigkeit eingetreten sind.</t>
  </si>
  <si>
    <t xml:space="preserve">Gezählt werden sollen alle Personen, die im Berichtjahr in ein Angebot zur Förderung der Arbeitsmarktfähigkeit eingetreten sind. Jede Person wird nur einmal gezählt, auch wenn sie in mehrere Förderangebote eingetreten ist. Wird ein Angebot unterbrochen oder abgebrochen, wird der Eintritt trotzdem gezählt.
I.d.R. sind dies Qualifizierungsangebote im ersten oder zweiten Arbeitsmarkt.
Der Kanton vermerkt in der Spalte Bemerkungen welche Angebotstypen er bei der Erfassung dieser Kennzahl berücksichtigt. Nicht mitgezählt werden sollen Personen in Angeboten, die primär der Sprachförderung dienen. </t>
  </si>
  <si>
    <r>
      <t xml:space="preserve">IAS Grundgesamtheit: FL/VA mit Entscheid im Berichtsjahr  (Register </t>
    </r>
    <r>
      <rPr>
        <b/>
        <sz val="11"/>
        <rFont val="Arial"/>
        <family val="2"/>
      </rPr>
      <t>16</t>
    </r>
    <r>
      <rPr>
        <b/>
        <sz val="11"/>
        <color rgb="FF5F2C09"/>
        <rFont val="Arial"/>
        <family val="2"/>
      </rPr>
      <t>)*</t>
    </r>
  </si>
  <si>
    <r>
      <t xml:space="preserve">IAS Grundgesamtheit: FL/VA mit Entscheid im Berichtsjahr (Register </t>
    </r>
    <r>
      <rPr>
        <b/>
        <sz val="11"/>
        <rFont val="Arial"/>
        <family val="2"/>
      </rPr>
      <t>16</t>
    </r>
    <r>
      <rPr>
        <b/>
        <sz val="11"/>
        <color rgb="FF5F2C09"/>
        <rFont val="Arial"/>
        <family val="2"/>
      </rPr>
      <t>)*</t>
    </r>
  </si>
  <si>
    <t>IAS Grundgesamtheit: FL/VA mit Entscheid ab 1.5.2019 (Register 16)*</t>
  </si>
  <si>
    <t>IAS Grundgesamtheit: FL/VA mit Einreise ab 1.1.2016 (Register 17)*</t>
  </si>
  <si>
    <t>IAS Grundgesamtheit: FL/VA mit Einreise 1.1.-31.12.2019 (Register 17)*</t>
  </si>
  <si>
    <t>IAS Grundgesamtheit: FL/VA mit Einreise ab 1.8.2018 (Register 17)*</t>
  </si>
  <si>
    <t xml:space="preserve">Gezählt werden sollen alle Personen, die im Berichtsjahr im Rahmen der Erstinformation erreicht wurden. Zur Erstinformation zählen ausschliesslich bilaterale (Erst-)Gespräche und Informationsveranstaltungen.
Der Kanton vermerkt in der Spalte Bemerkungen wie sich die Angaben unter "Anzahl Total" zusammensetzen, d.h. welche Formen der Erstinformation er berücksichtigt. </t>
  </si>
  <si>
    <r>
      <t>Anzahl 16-25-jährige FL/VA, die im Berichtsjahr in ein Angebot zur Förderung der Ausbildungs- und/oder Arbeitsmarktfähigkeit eingetreten sind</t>
    </r>
    <r>
      <rPr>
        <strike/>
        <sz val="11"/>
        <rFont val="Arial"/>
        <family val="2"/>
      </rPr>
      <t xml:space="preserve">. </t>
    </r>
  </si>
  <si>
    <t>*Die Grundgesamtheiten "Total", "Frauen" und "Männer" umfassen alle FL und VA. Personen mit Schutzstatus S sind nicht im Total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</si>
</sst>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Arial"/>
      <family val="2"/>
    </font>
    <font>
      <b/>
      <sz val="11"/>
      <color theme="1"/>
      <name val="Arial"/>
      <family val="2"/>
    </font>
    <font>
      <sz val="10"/>
      <name val="Arial"/>
      <family val="2"/>
    </font>
    <font>
      <sz val="11"/>
      <name val="Arial"/>
      <family val="2"/>
    </font>
    <font>
      <i/>
      <sz val="11"/>
      <name val="Arial"/>
      <family val="2"/>
    </font>
    <font>
      <b/>
      <sz val="11"/>
      <name val="Arial"/>
      <family val="2"/>
    </font>
    <font>
      <strike/>
      <sz val="11"/>
      <name val="Arial"/>
      <family val="2"/>
    </font>
    <font>
      <b/>
      <i/>
      <sz val="11"/>
      <name val="Arial"/>
      <family val="2"/>
    </font>
    <font>
      <b/>
      <sz val="14"/>
      <name val="Arial"/>
      <family val="2"/>
    </font>
    <font>
      <u/>
      <sz val="11"/>
      <name val="Arial"/>
      <family val="2"/>
    </font>
    <font>
      <b/>
      <sz val="20"/>
      <name val="Arial"/>
      <family val="2"/>
    </font>
    <font>
      <b/>
      <sz val="22"/>
      <name val="Arial"/>
      <family val="2"/>
    </font>
    <font>
      <sz val="18"/>
      <color theme="1"/>
      <name val="Arial"/>
      <family val="2"/>
    </font>
    <font>
      <sz val="20"/>
      <color theme="1"/>
      <name val="Arial"/>
      <family val="2"/>
    </font>
    <font>
      <sz val="22"/>
      <color theme="1"/>
      <name val="Arial"/>
      <family val="2"/>
    </font>
    <font>
      <b/>
      <sz val="22"/>
      <color theme="1"/>
      <name val="Arial"/>
      <family val="2"/>
    </font>
    <font>
      <b/>
      <sz val="16"/>
      <color theme="1"/>
      <name val="Arial"/>
      <family val="2"/>
    </font>
    <font>
      <b/>
      <sz val="20"/>
      <color theme="1"/>
      <name val="Arial"/>
      <family val="2"/>
    </font>
    <font>
      <b/>
      <sz val="24"/>
      <color theme="0"/>
      <name val="Arial"/>
      <family val="2"/>
    </font>
    <font>
      <b/>
      <sz val="22"/>
      <color theme="0"/>
      <name val="Arial"/>
      <family val="2"/>
    </font>
    <font>
      <sz val="20"/>
      <name val="Arial"/>
      <family val="2"/>
    </font>
    <font>
      <b/>
      <sz val="11"/>
      <color theme="7" tint="-0.499984740745262"/>
      <name val="Arial"/>
      <family val="2"/>
    </font>
    <font>
      <b/>
      <sz val="11"/>
      <color theme="5" tint="-0.499984740745262"/>
      <name val="Arial"/>
      <family val="2"/>
    </font>
    <font>
      <b/>
      <sz val="11"/>
      <color rgb="FFFF0000"/>
      <name val="Arial"/>
      <family val="2"/>
    </font>
    <font>
      <b/>
      <sz val="10"/>
      <name val="Arial"/>
      <family val="2"/>
    </font>
    <font>
      <u/>
      <sz val="11"/>
      <color theme="10"/>
      <name val="Arial"/>
      <family val="2"/>
    </font>
    <font>
      <b/>
      <sz val="11"/>
      <color rgb="FF5F2C09"/>
      <name val="Arial"/>
      <family val="2"/>
    </font>
    <font>
      <b/>
      <sz val="12"/>
      <color theme="1"/>
      <name val="Arial"/>
      <family val="2"/>
    </font>
    <font>
      <b/>
      <u/>
      <sz val="14"/>
      <color theme="8" tint="-0.249977111117893"/>
      <name val="Arial"/>
      <family val="2"/>
    </font>
    <font>
      <sz val="11"/>
      <color theme="0"/>
      <name val="Arial"/>
      <family val="2"/>
    </font>
    <font>
      <sz val="20"/>
      <color rgb="FFC00000"/>
      <name val="Arial"/>
      <family val="2"/>
    </font>
    <font>
      <b/>
      <sz val="14"/>
      <color rgb="FFC00000"/>
      <name val="Arial"/>
      <family val="2"/>
    </font>
    <font>
      <b/>
      <u/>
      <sz val="1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7"/>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diagonal/>
    </border>
  </borders>
  <cellStyleXfs count="3">
    <xf numFmtId="0" fontId="0" fillId="0" borderId="0"/>
    <xf numFmtId="0" fontId="2" fillId="0" borderId="0"/>
    <xf numFmtId="0" fontId="25" fillId="0" borderId="0" applyNumberFormat="0" applyFill="0" applyBorder="0" applyAlignment="0" applyProtection="0"/>
  </cellStyleXfs>
  <cellXfs count="546">
    <xf numFmtId="0" fontId="0" fillId="0" borderId="0" xfId="0"/>
    <xf numFmtId="0" fontId="3" fillId="0" borderId="0" xfId="0" applyFont="1"/>
    <xf numFmtId="0" fontId="5" fillId="0" borderId="0" xfId="0" applyFont="1" applyAlignment="1">
      <alignment wrapText="1"/>
    </xf>
    <xf numFmtId="0" fontId="3" fillId="0" borderId="0" xfId="0" applyFont="1" applyAlignment="1">
      <alignment wrapText="1"/>
    </xf>
    <xf numFmtId="0" fontId="3" fillId="0" borderId="0" xfId="0" applyFont="1" applyFill="1" applyAlignment="1">
      <alignment wrapText="1"/>
    </xf>
    <xf numFmtId="0" fontId="5" fillId="0" borderId="0" xfId="0" applyFont="1" applyFill="1" applyAlignment="1">
      <alignment wrapText="1"/>
    </xf>
    <xf numFmtId="0" fontId="3" fillId="0" borderId="0" xfId="0" applyFont="1" applyAlignment="1">
      <alignment horizontal="left" vertical="top" wrapText="1"/>
    </xf>
    <xf numFmtId="0" fontId="8" fillId="0" borderId="0" xfId="0" applyFont="1" applyAlignment="1">
      <alignment vertical="top"/>
    </xf>
    <xf numFmtId="0" fontId="5" fillId="0" borderId="30" xfId="0" applyFont="1" applyBorder="1" applyAlignment="1">
      <alignment horizontal="left" vertical="top" textRotation="90" wrapText="1"/>
    </xf>
    <xf numFmtId="0" fontId="5" fillId="0" borderId="33" xfId="0" applyFont="1" applyBorder="1" applyAlignment="1">
      <alignment horizontal="left" vertical="top" wrapText="1"/>
    </xf>
    <xf numFmtId="0" fontId="3" fillId="0" borderId="21" xfId="0" applyNumberFormat="1" applyFont="1" applyBorder="1" applyAlignment="1">
      <alignment horizontal="left" vertical="top" wrapText="1"/>
    </xf>
    <xf numFmtId="0" fontId="3" fillId="0" borderId="0" xfId="0" applyFont="1" applyBorder="1" applyAlignment="1">
      <alignment horizontal="left" vertical="top"/>
    </xf>
    <xf numFmtId="0" fontId="3" fillId="3" borderId="0" xfId="0" applyFont="1" applyFill="1" applyBorder="1" applyAlignment="1">
      <alignment horizontal="left" vertical="top" wrapText="1"/>
    </xf>
    <xf numFmtId="0" fontId="3" fillId="3" borderId="0" xfId="0" applyFont="1" applyFill="1"/>
    <xf numFmtId="0" fontId="3" fillId="3" borderId="0" xfId="0" applyFont="1" applyFill="1" applyBorder="1"/>
    <xf numFmtId="0" fontId="8" fillId="3" borderId="0" xfId="0" applyFont="1" applyFill="1" applyAlignment="1">
      <alignment horizontal="left" vertical="top"/>
    </xf>
    <xf numFmtId="0" fontId="3" fillId="3" borderId="0" xfId="0" applyFont="1" applyFill="1" applyAlignment="1">
      <alignment horizontal="left" vertical="top" wrapText="1"/>
    </xf>
    <xf numFmtId="0" fontId="3" fillId="3" borderId="0" xfId="0" applyFont="1" applyFill="1" applyAlignment="1">
      <alignment horizontal="left"/>
    </xf>
    <xf numFmtId="0" fontId="5" fillId="4" borderId="45" xfId="0" applyFont="1" applyFill="1" applyBorder="1" applyAlignment="1">
      <alignment horizontal="left" vertical="top"/>
    </xf>
    <xf numFmtId="0" fontId="5" fillId="4" borderId="12" xfId="0" applyFont="1" applyFill="1" applyBorder="1" applyAlignment="1">
      <alignment horizontal="left" vertical="top"/>
    </xf>
    <xf numFmtId="0" fontId="5" fillId="4" borderId="51" xfId="0" applyFont="1" applyFill="1" applyBorder="1" applyAlignment="1">
      <alignment horizontal="left" vertical="top"/>
    </xf>
    <xf numFmtId="0" fontId="3" fillId="3" borderId="11" xfId="0" applyFont="1" applyFill="1" applyBorder="1" applyAlignment="1">
      <alignment vertical="top" wrapText="1"/>
    </xf>
    <xf numFmtId="0" fontId="3" fillId="3" borderId="17"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3" fillId="3" borderId="34" xfId="0" applyFont="1" applyFill="1" applyBorder="1" applyAlignment="1">
      <alignment horizontal="left" vertical="top" wrapText="1"/>
    </xf>
    <xf numFmtId="0" fontId="5" fillId="2" borderId="30" xfId="0" applyFont="1" applyFill="1" applyBorder="1" applyAlignment="1">
      <alignment horizontal="left" vertical="top" wrapText="1"/>
    </xf>
    <xf numFmtId="3" fontId="3" fillId="0" borderId="7" xfId="0" applyNumberFormat="1" applyFont="1" applyBorder="1" applyAlignment="1" applyProtection="1">
      <alignment horizontal="center" vertical="center" wrapText="1"/>
    </xf>
    <xf numFmtId="3" fontId="3" fillId="0" borderId="9" xfId="0" applyNumberFormat="1" applyFont="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3" fontId="3" fillId="0" borderId="37" xfId="0" applyNumberFormat="1" applyFont="1" applyBorder="1" applyAlignment="1" applyProtection="1">
      <alignment horizontal="center" vertical="center" wrapText="1"/>
    </xf>
    <xf numFmtId="3" fontId="3" fillId="0" borderId="20" xfId="0" applyNumberFormat="1" applyFont="1" applyBorder="1" applyAlignment="1" applyProtection="1">
      <alignment horizontal="center" vertical="center" wrapText="1"/>
    </xf>
    <xf numFmtId="3" fontId="3" fillId="0" borderId="21" xfId="0" applyNumberFormat="1" applyFont="1" applyBorder="1" applyAlignment="1" applyProtection="1">
      <alignment horizontal="center" vertical="center" wrapText="1"/>
    </xf>
    <xf numFmtId="0" fontId="3" fillId="0" borderId="30" xfId="0" applyFont="1" applyFill="1" applyBorder="1" applyAlignment="1">
      <alignment horizontal="left" vertical="top" wrapText="1"/>
    </xf>
    <xf numFmtId="0" fontId="3" fillId="0" borderId="27" xfId="0" applyFont="1" applyBorder="1" applyAlignment="1">
      <alignment horizontal="left" vertical="top" wrapText="1"/>
    </xf>
    <xf numFmtId="0" fontId="3" fillId="0" borderId="30" xfId="0" applyNumberFormat="1" applyFont="1" applyBorder="1" applyAlignment="1">
      <alignment horizontal="left" vertical="top" wrapText="1"/>
    </xf>
    <xf numFmtId="0" fontId="3" fillId="0" borderId="29" xfId="0" applyNumberFormat="1" applyFont="1" applyBorder="1" applyAlignment="1">
      <alignment horizontal="left" vertical="top" wrapText="1"/>
    </xf>
    <xf numFmtId="3" fontId="3" fillId="0" borderId="32" xfId="0" applyNumberFormat="1" applyFont="1" applyBorder="1" applyAlignment="1" applyProtection="1">
      <alignment horizontal="center" vertical="center" wrapText="1"/>
    </xf>
    <xf numFmtId="3" fontId="3" fillId="0" borderId="39" xfId="0" applyNumberFormat="1" applyFont="1" applyBorder="1" applyAlignment="1" applyProtection="1">
      <alignment horizontal="center" vertical="center" wrapText="1"/>
    </xf>
    <xf numFmtId="0" fontId="3" fillId="0" borderId="24" xfId="0" applyNumberFormat="1" applyFont="1" applyBorder="1" applyAlignment="1">
      <alignment horizontal="left" vertical="top" wrapText="1"/>
    </xf>
    <xf numFmtId="3" fontId="3" fillId="0" borderId="31" xfId="0" applyNumberFormat="1" applyFont="1" applyBorder="1" applyAlignment="1" applyProtection="1">
      <alignment horizontal="center" vertical="center" wrapText="1"/>
    </xf>
    <xf numFmtId="3" fontId="3" fillId="0" borderId="22" xfId="0" applyNumberFormat="1" applyFont="1" applyBorder="1" applyAlignment="1" applyProtection="1">
      <alignment horizontal="center" vertical="center" wrapText="1"/>
    </xf>
    <xf numFmtId="3" fontId="3" fillId="0" borderId="24" xfId="0" applyNumberFormat="1" applyFont="1" applyBorder="1" applyAlignment="1" applyProtection="1">
      <alignment horizontal="center" vertical="center" wrapText="1"/>
    </xf>
    <xf numFmtId="0" fontId="3" fillId="0" borderId="26" xfId="0" applyFont="1" applyBorder="1" applyAlignment="1">
      <alignment horizontal="left" vertical="top" wrapText="1"/>
    </xf>
    <xf numFmtId="3" fontId="3" fillId="0" borderId="29" xfId="0" applyNumberFormat="1" applyFont="1" applyBorder="1" applyAlignment="1" applyProtection="1">
      <alignment horizontal="center" vertical="center" wrapText="1"/>
    </xf>
    <xf numFmtId="0" fontId="3" fillId="0" borderId="57" xfId="0" applyNumberFormat="1" applyFont="1" applyBorder="1" applyAlignment="1">
      <alignment horizontal="left" vertical="top" wrapText="1"/>
    </xf>
    <xf numFmtId="3" fontId="3" fillId="0" borderId="28" xfId="0" applyNumberFormat="1" applyFont="1" applyBorder="1" applyAlignment="1" applyProtection="1">
      <alignment horizontal="center" vertical="center" wrapText="1"/>
    </xf>
    <xf numFmtId="3" fontId="3" fillId="0" borderId="57" xfId="0" applyNumberFormat="1" applyFont="1" applyBorder="1" applyAlignment="1" applyProtection="1">
      <alignment horizontal="center" vertical="center" wrapText="1"/>
    </xf>
    <xf numFmtId="3" fontId="3" fillId="0" borderId="26" xfId="0" applyNumberFormat="1" applyFont="1" applyBorder="1" applyAlignment="1" applyProtection="1">
      <alignment horizontal="center" vertical="center" wrapText="1"/>
    </xf>
    <xf numFmtId="3" fontId="3" fillId="0" borderId="55" xfId="0" applyNumberFormat="1" applyFont="1" applyBorder="1" applyAlignment="1" applyProtection="1">
      <alignment horizontal="center" vertical="center" wrapText="1"/>
    </xf>
    <xf numFmtId="0" fontId="3" fillId="0" borderId="27" xfId="0" applyFont="1" applyBorder="1" applyAlignment="1">
      <alignment horizontal="left" vertical="top"/>
    </xf>
    <xf numFmtId="0" fontId="3" fillId="0" borderId="30" xfId="0" applyNumberFormat="1" applyFont="1" applyFill="1" applyBorder="1" applyAlignment="1">
      <alignment horizontal="left" vertical="top" wrapText="1"/>
    </xf>
    <xf numFmtId="0" fontId="3" fillId="0" borderId="29" xfId="0" applyNumberFormat="1" applyFont="1" applyFill="1" applyBorder="1" applyAlignment="1">
      <alignment horizontal="left" vertical="top" wrapText="1"/>
    </xf>
    <xf numFmtId="0" fontId="3" fillId="0" borderId="30" xfId="0" applyFont="1" applyBorder="1"/>
    <xf numFmtId="0" fontId="7" fillId="2" borderId="30" xfId="0" applyNumberFormat="1" applyFont="1" applyFill="1" applyBorder="1" applyAlignment="1">
      <alignment wrapText="1"/>
    </xf>
    <xf numFmtId="0" fontId="3" fillId="2" borderId="29" xfId="0" applyNumberFormat="1" applyFont="1" applyFill="1" applyBorder="1" applyAlignment="1">
      <alignment wrapText="1"/>
    </xf>
    <xf numFmtId="0" fontId="3" fillId="2" borderId="39" xfId="0" applyNumberFormat="1" applyFont="1" applyFill="1" applyBorder="1" applyAlignment="1">
      <alignment wrapText="1"/>
    </xf>
    <xf numFmtId="0" fontId="3" fillId="2" borderId="29" xfId="0" applyNumberFormat="1" applyFont="1" applyFill="1" applyBorder="1"/>
    <xf numFmtId="0" fontId="3" fillId="2" borderId="39" xfId="0" applyNumberFormat="1" applyFont="1" applyFill="1" applyBorder="1"/>
    <xf numFmtId="0" fontId="7" fillId="2" borderId="30" xfId="0" applyNumberFormat="1" applyFont="1" applyFill="1" applyBorder="1" applyAlignment="1">
      <alignment horizontal="left" vertical="top" wrapText="1"/>
    </xf>
    <xf numFmtId="0" fontId="3" fillId="2" borderId="29" xfId="0" applyNumberFormat="1" applyFont="1" applyFill="1" applyBorder="1" applyAlignment="1">
      <alignment horizontal="left" vertical="top"/>
    </xf>
    <xf numFmtId="0" fontId="3" fillId="2" borderId="39" xfId="0" applyNumberFormat="1" applyFont="1" applyFill="1" applyBorder="1" applyAlignment="1">
      <alignment horizontal="left" vertical="top"/>
    </xf>
    <xf numFmtId="0" fontId="3" fillId="2" borderId="32" xfId="0" applyNumberFormat="1" applyFont="1" applyFill="1" applyBorder="1"/>
    <xf numFmtId="0" fontId="3" fillId="2" borderId="19" xfId="0" applyNumberFormat="1" applyFont="1" applyFill="1" applyBorder="1" applyAlignment="1">
      <alignment wrapText="1"/>
    </xf>
    <xf numFmtId="3" fontId="3" fillId="0" borderId="19" xfId="0" applyNumberFormat="1" applyFont="1" applyBorder="1" applyAlignment="1" applyProtection="1">
      <alignment horizontal="center" vertical="center" wrapText="1"/>
    </xf>
    <xf numFmtId="0" fontId="3" fillId="2" borderId="19" xfId="0" applyNumberFormat="1" applyFont="1" applyFill="1" applyBorder="1" applyAlignment="1">
      <alignment horizontal="left" vertical="top"/>
    </xf>
    <xf numFmtId="3" fontId="3" fillId="0" borderId="60" xfId="0" applyNumberFormat="1" applyFont="1" applyBorder="1" applyAlignment="1" applyProtection="1">
      <alignment horizontal="center" vertical="center" wrapText="1"/>
    </xf>
    <xf numFmtId="3" fontId="3" fillId="0" borderId="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0" fontId="5" fillId="2" borderId="1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9" xfId="0" applyFont="1" applyFill="1" applyBorder="1" applyAlignment="1">
      <alignment horizontal="center" vertical="center" wrapText="1"/>
    </xf>
    <xf numFmtId="3" fontId="3" fillId="0" borderId="11" xfId="0" applyNumberFormat="1" applyFont="1" applyBorder="1" applyAlignment="1" applyProtection="1">
      <alignment horizontal="center" vertical="center" wrapText="1"/>
    </xf>
    <xf numFmtId="3" fontId="3" fillId="0" borderId="43" xfId="0" applyNumberFormat="1" applyFont="1" applyBorder="1" applyAlignment="1" applyProtection="1">
      <alignment horizontal="center" vertical="center" wrapText="1"/>
    </xf>
    <xf numFmtId="0" fontId="3" fillId="0" borderId="30" xfId="0" applyFont="1" applyFill="1" applyBorder="1" applyAlignment="1">
      <alignment vertical="top"/>
    </xf>
    <xf numFmtId="0" fontId="5" fillId="2" borderId="33" xfId="0" applyFont="1" applyFill="1" applyBorder="1" applyAlignment="1">
      <alignment horizontal="center" vertical="center" wrapText="1"/>
    </xf>
    <xf numFmtId="0" fontId="5" fillId="2" borderId="30" xfId="0" applyFont="1" applyFill="1" applyBorder="1" applyAlignment="1">
      <alignment horizontal="center" vertical="center" wrapText="1"/>
    </xf>
    <xf numFmtId="3" fontId="3" fillId="0" borderId="27" xfId="0" applyNumberFormat="1" applyFont="1" applyBorder="1" applyAlignment="1" applyProtection="1">
      <alignment horizontal="center" vertical="center" wrapText="1"/>
    </xf>
    <xf numFmtId="3" fontId="3" fillId="0" borderId="52"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0" borderId="53" xfId="0" applyNumberFormat="1" applyFont="1" applyBorder="1" applyAlignment="1" applyProtection="1">
      <alignment horizontal="center" vertical="center" wrapText="1"/>
    </xf>
    <xf numFmtId="3" fontId="3" fillId="0" borderId="33" xfId="0" applyNumberFormat="1" applyFont="1" applyBorder="1" applyAlignment="1" applyProtection="1">
      <alignment horizontal="center" vertical="center" wrapText="1"/>
    </xf>
    <xf numFmtId="3" fontId="3" fillId="0" borderId="61" xfId="0" applyNumberFormat="1" applyFont="1" applyBorder="1" applyAlignment="1" applyProtection="1">
      <alignment horizontal="center" vertical="center" wrapText="1"/>
    </xf>
    <xf numFmtId="3" fontId="3" fillId="0" borderId="30" xfId="0" applyNumberFormat="1" applyFont="1" applyBorder="1" applyAlignment="1" applyProtection="1">
      <alignment horizontal="center" vertical="center" wrapText="1"/>
    </xf>
    <xf numFmtId="3" fontId="3" fillId="0" borderId="45" xfId="0" applyNumberFormat="1" applyFont="1" applyBorder="1" applyAlignment="1" applyProtection="1">
      <alignment horizontal="center" vertical="center" wrapText="1"/>
    </xf>
    <xf numFmtId="3" fontId="3" fillId="0" borderId="12" xfId="0" applyNumberFormat="1" applyFont="1" applyBorder="1" applyAlignment="1" applyProtection="1">
      <alignment horizontal="center" vertical="center" wrapText="1"/>
    </xf>
    <xf numFmtId="3" fontId="3" fillId="0" borderId="44" xfId="0" applyNumberFormat="1" applyFont="1" applyBorder="1" applyAlignment="1" applyProtection="1">
      <alignment horizontal="center" vertical="center" wrapText="1"/>
    </xf>
    <xf numFmtId="3" fontId="3" fillId="0" borderId="56" xfId="0" applyNumberFormat="1" applyFont="1" applyBorder="1" applyAlignment="1" applyProtection="1">
      <alignment horizontal="center" vertical="center" wrapText="1"/>
    </xf>
    <xf numFmtId="0" fontId="3" fillId="2" borderId="33" xfId="0" applyNumberFormat="1" applyFont="1" applyFill="1" applyBorder="1"/>
    <xf numFmtId="0" fontId="3" fillId="2" borderId="30" xfId="0" applyNumberFormat="1" applyFont="1" applyFill="1" applyBorder="1"/>
    <xf numFmtId="3" fontId="3" fillId="0" borderId="0" xfId="0" applyNumberFormat="1" applyFont="1" applyBorder="1" applyAlignment="1" applyProtection="1">
      <alignment horizontal="center" vertical="center" wrapText="1"/>
    </xf>
    <xf numFmtId="3" fontId="3" fillId="0" borderId="13" xfId="0" applyNumberFormat="1" applyFont="1" applyBorder="1" applyAlignment="1" applyProtection="1">
      <alignment horizontal="center" vertical="center" wrapText="1"/>
    </xf>
    <xf numFmtId="0" fontId="3" fillId="0" borderId="0" xfId="0" applyFont="1" applyFill="1"/>
    <xf numFmtId="0" fontId="10" fillId="0" borderId="0" xfId="0" applyFont="1" applyFill="1" applyAlignment="1">
      <alignment vertical="top"/>
    </xf>
    <xf numFmtId="0" fontId="5" fillId="0" borderId="0" xfId="0" applyFont="1"/>
    <xf numFmtId="0" fontId="10" fillId="0" borderId="1" xfId="0" applyFont="1" applyFill="1" applyBorder="1" applyAlignment="1">
      <alignment vertical="top"/>
    </xf>
    <xf numFmtId="49" fontId="20" fillId="0" borderId="1" xfId="0" applyNumberFormat="1" applyFont="1" applyBorder="1" applyProtection="1">
      <protection locked="0"/>
    </xf>
    <xf numFmtId="0" fontId="3" fillId="3" borderId="34" xfId="0" applyFont="1" applyFill="1" applyBorder="1" applyAlignment="1">
      <alignment horizontal="left" vertical="top" wrapText="1"/>
    </xf>
    <xf numFmtId="0" fontId="3" fillId="3" borderId="34" xfId="0" applyFont="1" applyFill="1" applyBorder="1" applyAlignment="1">
      <alignment horizontal="left" vertical="top" wrapText="1"/>
    </xf>
    <xf numFmtId="3" fontId="3" fillId="3" borderId="11" xfId="0" applyNumberFormat="1" applyFont="1" applyFill="1" applyBorder="1" applyAlignment="1">
      <alignment horizontal="center" vertical="center"/>
    </xf>
    <xf numFmtId="3" fontId="3" fillId="3" borderId="43" xfId="0" applyNumberFormat="1" applyFont="1" applyFill="1" applyBorder="1" applyAlignment="1" applyProtection="1">
      <alignment horizontal="center" vertical="center"/>
      <protection locked="0"/>
    </xf>
    <xf numFmtId="3" fontId="3" fillId="3" borderId="5" xfId="0" applyNumberFormat="1" applyFont="1" applyFill="1" applyBorder="1" applyAlignment="1" applyProtection="1">
      <alignment horizontal="center" vertical="center"/>
      <protection locked="0"/>
    </xf>
    <xf numFmtId="3" fontId="3" fillId="3" borderId="36" xfId="0" applyNumberFormat="1" applyFont="1" applyFill="1" applyBorder="1" applyAlignment="1" applyProtection="1">
      <alignment horizontal="center" vertical="center"/>
      <protection locked="0"/>
    </xf>
    <xf numFmtId="3" fontId="3" fillId="3" borderId="19"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7" xfId="0" applyNumberFormat="1" applyFont="1" applyFill="1" applyBorder="1" applyAlignment="1" applyProtection="1">
      <alignment horizontal="center" vertical="center"/>
      <protection locked="0"/>
    </xf>
    <xf numFmtId="3" fontId="3" fillId="3" borderId="1" xfId="0" applyNumberFormat="1" applyFont="1" applyFill="1" applyBorder="1" applyAlignment="1" applyProtection="1">
      <alignment horizontal="center" vertical="center"/>
      <protection locked="0"/>
    </xf>
    <xf numFmtId="3" fontId="3" fillId="3" borderId="9" xfId="0" applyNumberFormat="1" applyFont="1" applyFill="1" applyBorder="1" applyAlignment="1" applyProtection="1">
      <alignment horizontal="center" vertical="center"/>
      <protection locked="0"/>
    </xf>
    <xf numFmtId="3" fontId="3" fillId="3" borderId="38" xfId="0" applyNumberFormat="1" applyFont="1" applyFill="1" applyBorder="1" applyAlignment="1">
      <alignment horizontal="center" vertical="center"/>
    </xf>
    <xf numFmtId="3" fontId="3" fillId="3" borderId="35" xfId="0" applyNumberFormat="1" applyFont="1" applyFill="1" applyBorder="1" applyAlignment="1" applyProtection="1">
      <alignment horizontal="center" vertical="center"/>
      <protection locked="0"/>
    </xf>
    <xf numFmtId="3" fontId="3" fillId="3" borderId="4" xfId="0" applyNumberFormat="1" applyFont="1" applyFill="1" applyBorder="1" applyAlignment="1" applyProtection="1">
      <alignment horizontal="center" vertical="center"/>
      <protection locked="0"/>
    </xf>
    <xf numFmtId="3" fontId="3" fillId="3" borderId="10" xfId="0" applyNumberFormat="1" applyFont="1" applyFill="1" applyBorder="1" applyAlignment="1" applyProtection="1">
      <alignment horizontal="center" vertical="center"/>
      <protection locked="0"/>
    </xf>
    <xf numFmtId="3" fontId="3" fillId="3" borderId="34" xfId="0" applyNumberFormat="1" applyFont="1" applyFill="1" applyBorder="1" applyAlignment="1">
      <alignment horizontal="center" vertical="center"/>
    </xf>
    <xf numFmtId="3" fontId="3" fillId="3" borderId="30" xfId="0" applyNumberFormat="1" applyFont="1" applyFill="1" applyBorder="1" applyAlignment="1" applyProtection="1">
      <alignment horizontal="center" vertical="center"/>
    </xf>
    <xf numFmtId="3" fontId="3" fillId="3" borderId="29" xfId="0" applyNumberFormat="1" applyFont="1" applyFill="1" applyBorder="1" applyAlignment="1" applyProtection="1">
      <alignment horizontal="center" vertical="center"/>
    </xf>
    <xf numFmtId="3" fontId="3" fillId="3" borderId="39" xfId="0" applyNumberFormat="1" applyFont="1" applyFill="1" applyBorder="1" applyAlignment="1" applyProtection="1">
      <alignment horizontal="center" vertical="center"/>
    </xf>
    <xf numFmtId="3" fontId="3" fillId="3" borderId="56" xfId="0" applyNumberFormat="1" applyFont="1" applyFill="1" applyBorder="1" applyAlignment="1" applyProtection="1">
      <alignment horizontal="center" vertical="center"/>
    </xf>
    <xf numFmtId="3" fontId="3" fillId="3" borderId="28" xfId="0" applyNumberFormat="1" applyFont="1" applyFill="1" applyBorder="1" applyAlignment="1" applyProtection="1">
      <alignment horizontal="center" vertical="center"/>
    </xf>
    <xf numFmtId="3" fontId="3" fillId="3" borderId="57" xfId="0" applyNumberFormat="1" applyFont="1" applyFill="1" applyBorder="1" applyAlignment="1" applyProtection="1">
      <alignment horizontal="center" vertical="center"/>
    </xf>
    <xf numFmtId="49" fontId="20" fillId="0" borderId="1" xfId="0" applyNumberFormat="1" applyFont="1" applyBorder="1" applyAlignment="1">
      <alignment vertical="top"/>
    </xf>
    <xf numFmtId="14" fontId="13" fillId="0" borderId="1" xfId="0" applyNumberFormat="1" applyFont="1" applyBorder="1" applyAlignment="1" applyProtection="1">
      <alignment vertical="center"/>
      <protection locked="0"/>
    </xf>
    <xf numFmtId="3" fontId="3" fillId="3" borderId="34" xfId="0" applyNumberFormat="1" applyFont="1" applyFill="1" applyBorder="1" applyAlignment="1">
      <alignment horizontal="center" vertical="center"/>
    </xf>
    <xf numFmtId="3" fontId="3" fillId="3" borderId="28" xfId="0" applyNumberFormat="1" applyFont="1" applyFill="1" applyBorder="1" applyAlignment="1" applyProtection="1">
      <alignment horizontal="center" vertical="center"/>
      <protection locked="0"/>
    </xf>
    <xf numFmtId="3" fontId="3" fillId="3" borderId="57" xfId="0" applyNumberFormat="1" applyFont="1" applyFill="1" applyBorder="1" applyAlignment="1" applyProtection="1">
      <alignment horizontal="center" vertical="center"/>
      <protection locked="0"/>
    </xf>
    <xf numFmtId="0" fontId="3" fillId="3" borderId="0" xfId="0" applyFont="1" applyFill="1" applyAlignment="1">
      <alignment horizontal="center" vertical="center"/>
    </xf>
    <xf numFmtId="0" fontId="1" fillId="0" borderId="0" xfId="0" applyFont="1"/>
    <xf numFmtId="0" fontId="0" fillId="11" borderId="1" xfId="0" applyFill="1" applyBorder="1"/>
    <xf numFmtId="0" fontId="1" fillId="11" borderId="1" xfId="0" applyFont="1" applyFill="1" applyBorder="1"/>
    <xf numFmtId="0" fontId="1" fillId="12" borderId="1" xfId="0" applyFont="1" applyFill="1" applyBorder="1"/>
    <xf numFmtId="0" fontId="0" fillId="12" borderId="1" xfId="0" applyFill="1" applyBorder="1"/>
    <xf numFmtId="3" fontId="3" fillId="3" borderId="56" xfId="0" applyNumberFormat="1" applyFont="1" applyFill="1" applyBorder="1" applyAlignment="1" applyProtection="1">
      <alignment horizontal="center" vertical="center"/>
      <protection locked="0"/>
    </xf>
    <xf numFmtId="3" fontId="3" fillId="3" borderId="61" xfId="0" applyNumberFormat="1" applyFont="1" applyFill="1" applyBorder="1" applyAlignment="1" applyProtection="1">
      <alignment horizontal="center" vertical="center"/>
      <protection locked="0"/>
    </xf>
    <xf numFmtId="49" fontId="22" fillId="11" borderId="30" xfId="0" applyNumberFormat="1" applyFont="1" applyFill="1" applyBorder="1" applyAlignment="1" applyProtection="1">
      <alignment horizontal="center" vertical="center"/>
      <protection locked="0"/>
    </xf>
    <xf numFmtId="49" fontId="22" fillId="11" borderId="19" xfId="0" applyNumberFormat="1" applyFont="1" applyFill="1" applyBorder="1" applyAlignment="1" applyProtection="1">
      <alignment horizontal="center" vertical="center"/>
      <protection locked="0"/>
    </xf>
    <xf numFmtId="49" fontId="22" fillId="11" borderId="39" xfId="0" applyNumberFormat="1" applyFont="1" applyFill="1" applyBorder="1" applyAlignment="1" applyProtection="1">
      <alignment horizontal="center" vertical="center" wrapText="1"/>
      <protection locked="0"/>
    </xf>
    <xf numFmtId="49" fontId="22" fillId="11" borderId="26" xfId="0" applyNumberFormat="1" applyFont="1" applyFill="1" applyBorder="1" applyAlignment="1" applyProtection="1">
      <alignment horizontal="center" vertical="center"/>
      <protection locked="0"/>
    </xf>
    <xf numFmtId="3" fontId="22" fillId="11" borderId="40" xfId="0" applyNumberFormat="1" applyFont="1" applyFill="1" applyBorder="1" applyAlignment="1" applyProtection="1">
      <alignment horizontal="center" vertical="center"/>
      <protection locked="0"/>
    </xf>
    <xf numFmtId="3" fontId="22" fillId="11" borderId="19" xfId="0" applyNumberFormat="1" applyFont="1" applyFill="1" applyBorder="1" applyAlignment="1" applyProtection="1">
      <alignment horizontal="center" vertical="center"/>
      <protection locked="0"/>
    </xf>
    <xf numFmtId="3" fontId="0" fillId="5" borderId="14" xfId="0" applyNumberFormat="1" applyFill="1" applyBorder="1"/>
    <xf numFmtId="3" fontId="0" fillId="5" borderId="6" xfId="0" applyNumberFormat="1" applyFill="1" applyBorder="1"/>
    <xf numFmtId="3" fontId="0" fillId="5" borderId="58" xfId="0" applyNumberFormat="1" applyFill="1" applyBorder="1"/>
    <xf numFmtId="3" fontId="0" fillId="5" borderId="12" xfId="0" applyNumberFormat="1" applyFill="1" applyBorder="1"/>
    <xf numFmtId="3" fontId="0" fillId="5" borderId="1" xfId="0" applyNumberFormat="1" applyFill="1" applyBorder="1"/>
    <xf numFmtId="14" fontId="0" fillId="0" borderId="15" xfId="0" applyNumberFormat="1" applyBorder="1"/>
    <xf numFmtId="0" fontId="0" fillId="0" borderId="8" xfId="0" applyBorder="1"/>
    <xf numFmtId="0" fontId="0" fillId="0" borderId="0" xfId="0" applyAlignment="1">
      <alignment horizontal="left" vertical="center"/>
    </xf>
    <xf numFmtId="3" fontId="3" fillId="3" borderId="56" xfId="0" applyNumberFormat="1" applyFont="1" applyFill="1" applyBorder="1" applyAlignment="1" applyProtection="1">
      <alignment vertical="center"/>
      <protection locked="0"/>
    </xf>
    <xf numFmtId="3" fontId="3" fillId="3" borderId="28" xfId="0" applyNumberFormat="1" applyFont="1" applyFill="1" applyBorder="1" applyAlignment="1" applyProtection="1">
      <alignment vertical="center"/>
      <protection locked="0"/>
    </xf>
    <xf numFmtId="3" fontId="3" fillId="3" borderId="57" xfId="0" applyNumberFormat="1" applyFont="1" applyFill="1" applyBorder="1" applyAlignment="1" applyProtection="1">
      <alignment vertical="center"/>
      <protection locked="0"/>
    </xf>
    <xf numFmtId="0" fontId="3" fillId="3" borderId="19" xfId="0" applyFont="1" applyFill="1" applyBorder="1" applyAlignment="1">
      <alignment vertical="top" wrapText="1"/>
    </xf>
    <xf numFmtId="3" fontId="3" fillId="3" borderId="30" xfId="0" applyNumberFormat="1" applyFont="1" applyFill="1" applyBorder="1" applyAlignment="1" applyProtection="1">
      <alignment vertical="center"/>
      <protection locked="0"/>
    </xf>
    <xf numFmtId="3" fontId="3" fillId="3" borderId="29" xfId="0" applyNumberFormat="1" applyFont="1" applyFill="1" applyBorder="1" applyAlignment="1" applyProtection="1">
      <alignment vertical="center"/>
      <protection locked="0"/>
    </xf>
    <xf numFmtId="3" fontId="3" fillId="3" borderId="39" xfId="0" applyNumberFormat="1" applyFont="1" applyFill="1" applyBorder="1" applyAlignment="1" applyProtection="1">
      <alignment vertical="center"/>
      <protection locked="0"/>
    </xf>
    <xf numFmtId="3" fontId="3" fillId="3" borderId="36" xfId="0" applyNumberFormat="1" applyFont="1" applyFill="1" applyBorder="1" applyAlignment="1" applyProtection="1">
      <alignment vertical="center"/>
      <protection locked="0"/>
    </xf>
    <xf numFmtId="0" fontId="3" fillId="2" borderId="39" xfId="0" applyNumberFormat="1" applyFont="1" applyFill="1" applyBorder="1" applyAlignment="1">
      <alignment horizontal="left" vertical="top" wrapText="1"/>
    </xf>
    <xf numFmtId="0" fontId="3" fillId="2" borderId="59" xfId="0" applyNumberFormat="1" applyFont="1" applyFill="1" applyBorder="1" applyAlignment="1">
      <alignment horizontal="left" vertical="top" wrapText="1"/>
    </xf>
    <xf numFmtId="49" fontId="22" fillId="11" borderId="30" xfId="0" applyNumberFormat="1" applyFont="1" applyFill="1" applyBorder="1" applyAlignment="1" applyProtection="1">
      <alignment horizontal="center" vertical="center" wrapText="1"/>
      <protection locked="0"/>
    </xf>
    <xf numFmtId="49" fontId="22" fillId="11" borderId="29" xfId="0" applyNumberFormat="1" applyFont="1" applyFill="1" applyBorder="1" applyAlignment="1" applyProtection="1">
      <alignment horizontal="center" vertical="center" wrapText="1"/>
      <protection locked="0"/>
    </xf>
    <xf numFmtId="49" fontId="22" fillId="11" borderId="26" xfId="0" applyNumberFormat="1" applyFont="1" applyFill="1" applyBorder="1" applyAlignment="1" applyProtection="1">
      <alignment horizontal="center" vertical="center" wrapText="1"/>
      <protection locked="0"/>
    </xf>
    <xf numFmtId="0" fontId="5" fillId="4" borderId="19"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3" xfId="0" applyNumberFormat="1"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3" xfId="0" applyNumberFormat="1" applyFont="1" applyFill="1" applyBorder="1" applyAlignment="1">
      <alignment horizontal="left" vertical="center" wrapText="1"/>
    </xf>
    <xf numFmtId="0" fontId="5" fillId="4" borderId="39" xfId="0" applyFont="1" applyFill="1" applyBorder="1" applyAlignment="1">
      <alignment horizontal="center" vertical="center" wrapText="1"/>
    </xf>
    <xf numFmtId="3" fontId="5" fillId="4" borderId="56" xfId="0" applyNumberFormat="1" applyFont="1" applyFill="1" applyBorder="1" applyAlignment="1" applyProtection="1">
      <alignment horizontal="center" vertical="center" wrapText="1"/>
      <protection locked="0"/>
    </xf>
    <xf numFmtId="3" fontId="5" fillId="4" borderId="34" xfId="0" applyNumberFormat="1" applyFont="1" applyFill="1" applyBorder="1" applyAlignment="1" applyProtection="1">
      <alignment horizontal="center" vertical="center" wrapText="1"/>
      <protection locked="0"/>
    </xf>
    <xf numFmtId="0" fontId="5" fillId="4" borderId="5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3" fillId="3" borderId="0" xfId="0" applyFont="1" applyFill="1" applyProtection="1"/>
    <xf numFmtId="1"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top" wrapText="1"/>
    </xf>
    <xf numFmtId="3" fontId="5" fillId="4" borderId="66" xfId="0" applyNumberFormat="1" applyFont="1" applyFill="1" applyBorder="1" applyAlignment="1" applyProtection="1">
      <alignment horizontal="center" vertical="center" wrapText="1"/>
      <protection locked="0"/>
    </xf>
    <xf numFmtId="3" fontId="5" fillId="4" borderId="19" xfId="0" applyNumberFormat="1" applyFont="1" applyFill="1" applyBorder="1" applyAlignment="1" applyProtection="1">
      <alignment horizontal="center" vertical="center" wrapText="1"/>
      <protection locked="0"/>
    </xf>
    <xf numFmtId="0" fontId="5" fillId="4" borderId="63" xfId="0" applyFont="1" applyFill="1" applyBorder="1" applyAlignment="1">
      <alignment horizontal="left" vertical="top"/>
    </xf>
    <xf numFmtId="0" fontId="5" fillId="4" borderId="65" xfId="0" applyFont="1" applyFill="1" applyBorder="1" applyAlignment="1">
      <alignment horizontal="left" vertical="top"/>
    </xf>
    <xf numFmtId="0" fontId="5" fillId="4" borderId="62" xfId="0" applyFont="1" applyFill="1" applyBorder="1" applyAlignment="1">
      <alignment horizontal="left" vertical="top"/>
    </xf>
    <xf numFmtId="0" fontId="5" fillId="4" borderId="69" xfId="0" applyFont="1" applyFill="1" applyBorder="1" applyAlignment="1">
      <alignment horizontal="left" vertical="top"/>
    </xf>
    <xf numFmtId="0" fontId="5" fillId="4" borderId="18" xfId="0" applyFont="1" applyFill="1" applyBorder="1" applyAlignment="1">
      <alignment horizontal="center" vertical="center" wrapText="1"/>
    </xf>
    <xf numFmtId="0" fontId="5" fillId="4" borderId="19" xfId="0" applyNumberFormat="1" applyFont="1" applyFill="1" applyBorder="1" applyAlignment="1">
      <alignment horizontal="left" vertical="center" wrapText="1"/>
    </xf>
    <xf numFmtId="3" fontId="3" fillId="3" borderId="70" xfId="0" applyNumberFormat="1" applyFont="1" applyFill="1" applyBorder="1" applyAlignment="1">
      <alignment horizontal="center" vertical="center"/>
    </xf>
    <xf numFmtId="3" fontId="3" fillId="3" borderId="32" xfId="0" applyNumberFormat="1" applyFont="1" applyFill="1" applyBorder="1" applyAlignment="1" applyProtection="1">
      <alignment horizontal="center" vertical="center"/>
    </xf>
    <xf numFmtId="0" fontId="0" fillId="11" borderId="1" xfId="0" quotePrefix="1" applyFill="1" applyBorder="1"/>
    <xf numFmtId="49" fontId="0" fillId="12" borderId="1" xfId="0" applyNumberFormat="1" applyFill="1" applyBorder="1"/>
    <xf numFmtId="0" fontId="23" fillId="0" borderId="0" xfId="0" applyFont="1"/>
    <xf numFmtId="3" fontId="0" fillId="0" borderId="0" xfId="0" applyNumberFormat="1"/>
    <xf numFmtId="3" fontId="3" fillId="3" borderId="0" xfId="0" applyNumberFormat="1" applyFont="1" applyFill="1"/>
    <xf numFmtId="3" fontId="0" fillId="5" borderId="67" xfId="0" applyNumberFormat="1" applyFill="1" applyBorder="1"/>
    <xf numFmtId="0" fontId="0" fillId="0" borderId="68" xfId="0" applyBorder="1"/>
    <xf numFmtId="0" fontId="1" fillId="0" borderId="8" xfId="0" applyFont="1" applyBorder="1"/>
    <xf numFmtId="14" fontId="1" fillId="0" borderId="15" xfId="0" applyNumberFormat="1" applyFont="1" applyBorder="1"/>
    <xf numFmtId="3" fontId="1" fillId="5" borderId="14" xfId="0" applyNumberFormat="1" applyFont="1" applyFill="1" applyBorder="1"/>
    <xf numFmtId="3" fontId="1" fillId="5" borderId="6" xfId="0" applyNumberFormat="1" applyFont="1" applyFill="1" applyBorder="1"/>
    <xf numFmtId="0" fontId="1" fillId="0" borderId="68" xfId="0" applyFont="1" applyBorder="1"/>
    <xf numFmtId="14" fontId="1" fillId="0" borderId="17" xfId="0" applyNumberFormat="1" applyFont="1" applyBorder="1"/>
    <xf numFmtId="0" fontId="3" fillId="0" borderId="0" xfId="0" applyFont="1" applyProtection="1"/>
    <xf numFmtId="0" fontId="5" fillId="0" borderId="0" xfId="0" applyFont="1" applyProtection="1"/>
    <xf numFmtId="0" fontId="11" fillId="0" borderId="0" xfId="0" applyFont="1" applyFill="1" applyAlignment="1" applyProtection="1">
      <alignment horizontal="left" vertical="top"/>
    </xf>
    <xf numFmtId="0" fontId="8" fillId="0" borderId="0" xfId="0" applyFont="1" applyFill="1" applyAlignment="1" applyProtection="1">
      <alignment horizontal="left" vertical="top"/>
    </xf>
    <xf numFmtId="0" fontId="5" fillId="2" borderId="29" xfId="0" applyFont="1" applyFill="1" applyBorder="1" applyAlignment="1" applyProtection="1">
      <alignment horizontal="left" vertical="top" wrapText="1"/>
    </xf>
    <xf numFmtId="0" fontId="3" fillId="0" borderId="0" xfId="0" applyFont="1" applyFill="1" applyBorder="1" applyProtection="1"/>
    <xf numFmtId="0" fontId="3" fillId="0" borderId="9"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30" xfId="0" applyFont="1" applyBorder="1" applyProtection="1">
      <protection locked="0"/>
    </xf>
    <xf numFmtId="0" fontId="3" fillId="0" borderId="27" xfId="0" applyFont="1" applyBorder="1" applyProtection="1">
      <protection locked="0"/>
    </xf>
    <xf numFmtId="0" fontId="7"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vertical="top"/>
      <protection locked="0"/>
    </xf>
    <xf numFmtId="0" fontId="3" fillId="2" borderId="39" xfId="0" applyFont="1" applyFill="1" applyBorder="1" applyAlignment="1" applyProtection="1">
      <alignment vertical="top"/>
      <protection locked="0"/>
    </xf>
    <xf numFmtId="0" fontId="3" fillId="2" borderId="32" xfId="0" applyFont="1" applyFill="1" applyBorder="1" applyAlignment="1" applyProtection="1">
      <alignment horizontal="left" vertical="top"/>
      <protection locked="0"/>
    </xf>
    <xf numFmtId="0" fontId="3" fillId="2" borderId="29" xfId="0" applyFont="1" applyFill="1" applyBorder="1" applyProtection="1">
      <protection locked="0"/>
    </xf>
    <xf numFmtId="0" fontId="3" fillId="2" borderId="33" xfId="0" applyFont="1" applyFill="1" applyBorder="1" applyProtection="1">
      <protection locked="0"/>
    </xf>
    <xf numFmtId="0" fontId="3" fillId="2" borderId="30" xfId="0" applyFont="1" applyFill="1" applyBorder="1" applyProtection="1">
      <protection locked="0"/>
    </xf>
    <xf numFmtId="0" fontId="3" fillId="2" borderId="39" xfId="0" applyFont="1" applyFill="1" applyBorder="1" applyProtection="1">
      <protection locked="0"/>
    </xf>
    <xf numFmtId="0" fontId="3" fillId="0" borderId="0" xfId="0" applyFont="1" applyProtection="1">
      <protection locked="0"/>
    </xf>
    <xf numFmtId="0" fontId="24" fillId="2" borderId="30" xfId="0" applyFont="1" applyFill="1" applyBorder="1" applyAlignment="1" applyProtection="1">
      <alignment horizontal="center" vertical="center" wrapText="1"/>
      <protection locked="0"/>
    </xf>
    <xf numFmtId="0" fontId="24" fillId="2" borderId="39" xfId="0" applyFont="1" applyFill="1" applyBorder="1" applyAlignment="1" applyProtection="1">
      <alignment horizontal="center" vertical="center" wrapText="1"/>
      <protection locked="0"/>
    </xf>
    <xf numFmtId="0" fontId="3" fillId="0" borderId="24"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0" fillId="0" borderId="0" xfId="0" applyProtection="1"/>
    <xf numFmtId="0" fontId="15" fillId="2" borderId="42" xfId="0" applyFont="1" applyFill="1" applyBorder="1" applyProtection="1"/>
    <xf numFmtId="0" fontId="15" fillId="0" borderId="0" xfId="0" applyFont="1" applyAlignment="1" applyProtection="1"/>
    <xf numFmtId="14" fontId="0" fillId="0" borderId="0" xfId="0" applyNumberFormat="1" applyProtection="1"/>
    <xf numFmtId="49" fontId="16" fillId="0" borderId="38" xfId="0" applyNumberFormat="1" applyFont="1" applyBorder="1" applyAlignment="1" applyProtection="1">
      <alignment vertical="top" wrapText="1"/>
    </xf>
    <xf numFmtId="49" fontId="16" fillId="0" borderId="19" xfId="0" applyNumberFormat="1" applyFont="1" applyBorder="1" applyAlignment="1" applyProtection="1">
      <alignment vertical="top" wrapText="1"/>
    </xf>
    <xf numFmtId="0" fontId="17" fillId="7" borderId="19" xfId="0" applyFont="1" applyFill="1" applyBorder="1" applyAlignment="1" applyProtection="1"/>
    <xf numFmtId="1" fontId="12" fillId="10" borderId="8" xfId="0" applyNumberFormat="1" applyFont="1" applyFill="1" applyBorder="1" applyAlignment="1" applyProtection="1">
      <alignment horizontal="center" vertical="center"/>
    </xf>
    <xf numFmtId="1" fontId="12" fillId="9" borderId="8" xfId="0" applyNumberFormat="1" applyFont="1" applyFill="1" applyBorder="1" applyAlignment="1" applyProtection="1">
      <alignment horizontal="center" vertical="center"/>
    </xf>
    <xf numFmtId="0" fontId="3" fillId="0" borderId="27" xfId="0" applyFont="1" applyFill="1" applyBorder="1" applyAlignment="1">
      <alignment wrapText="1"/>
    </xf>
    <xf numFmtId="0" fontId="3" fillId="0" borderId="0" xfId="0" applyFont="1" applyBorder="1"/>
    <xf numFmtId="0" fontId="0" fillId="0" borderId="0" xfId="0" applyFill="1"/>
    <xf numFmtId="0" fontId="1" fillId="15" borderId="0" xfId="0" applyFont="1" applyFill="1"/>
    <xf numFmtId="3" fontId="1" fillId="15" borderId="0" xfId="0" applyNumberFormat="1" applyFont="1" applyFill="1"/>
    <xf numFmtId="0" fontId="1" fillId="0" borderId="0" xfId="0" applyFont="1" applyFill="1"/>
    <xf numFmtId="0" fontId="3" fillId="0" borderId="0" xfId="0" applyFont="1" applyFill="1" applyProtection="1"/>
    <xf numFmtId="0" fontId="3" fillId="0" borderId="1" xfId="0" applyFont="1" applyFill="1" applyBorder="1" applyAlignment="1" applyProtection="1">
      <alignment horizontal="left" vertical="top" wrapText="1"/>
    </xf>
    <xf numFmtId="3" fontId="26" fillId="16" borderId="38" xfId="0" applyNumberFormat="1" applyFont="1" applyFill="1" applyBorder="1" applyAlignment="1">
      <alignment horizontal="center" vertical="center"/>
    </xf>
    <xf numFmtId="3" fontId="26" fillId="16" borderId="37" xfId="0" applyNumberFormat="1" applyFont="1" applyFill="1" applyBorder="1" applyAlignment="1" applyProtection="1">
      <alignment horizontal="center" vertical="center"/>
    </xf>
    <xf numFmtId="3" fontId="26" fillId="16" borderId="20" xfId="0" applyNumberFormat="1" applyFont="1" applyFill="1" applyBorder="1" applyAlignment="1" applyProtection="1">
      <alignment horizontal="center" vertical="center"/>
    </xf>
    <xf numFmtId="3" fontId="26" fillId="16" borderId="21" xfId="0" applyNumberFormat="1" applyFont="1" applyFill="1" applyBorder="1" applyAlignment="1" applyProtection="1">
      <alignment horizontal="center" vertical="center"/>
    </xf>
    <xf numFmtId="3" fontId="26" fillId="16" borderId="23" xfId="0" applyNumberFormat="1" applyFont="1" applyFill="1" applyBorder="1" applyAlignment="1">
      <alignment horizontal="center" vertical="center"/>
    </xf>
    <xf numFmtId="3" fontId="26" fillId="16" borderId="71" xfId="0" applyNumberFormat="1" applyFont="1" applyFill="1" applyBorder="1" applyAlignment="1" applyProtection="1">
      <alignment horizontal="center" vertical="center"/>
    </xf>
    <xf numFmtId="3" fontId="26" fillId="16" borderId="41" xfId="0" applyNumberFormat="1" applyFont="1" applyFill="1" applyBorder="1" applyAlignment="1" applyProtection="1">
      <alignment horizontal="center" vertical="center"/>
    </xf>
    <xf numFmtId="3" fontId="26" fillId="16" borderId="72" xfId="0" applyNumberFormat="1" applyFont="1" applyFill="1" applyBorder="1" applyAlignment="1" applyProtection="1">
      <alignment horizontal="center" vertical="center"/>
    </xf>
    <xf numFmtId="3" fontId="26" fillId="16" borderId="44" xfId="0" applyNumberFormat="1" applyFont="1" applyFill="1" applyBorder="1" applyAlignment="1" applyProtection="1">
      <alignment horizontal="center" vertical="center"/>
    </xf>
    <xf numFmtId="3" fontId="26" fillId="16" borderId="54" xfId="0" applyNumberFormat="1" applyFont="1" applyFill="1" applyBorder="1" applyAlignment="1" applyProtection="1">
      <alignment horizontal="center" vertical="center"/>
    </xf>
    <xf numFmtId="0" fontId="26" fillId="14" borderId="60" xfId="0" applyFont="1" applyFill="1" applyBorder="1" applyAlignment="1">
      <alignment horizontal="left" vertical="top" wrapText="1"/>
    </xf>
    <xf numFmtId="3" fontId="26" fillId="14" borderId="60" xfId="0" applyNumberFormat="1" applyFont="1" applyFill="1" applyBorder="1" applyAlignment="1">
      <alignment horizontal="center" vertical="center"/>
    </xf>
    <xf numFmtId="3" fontId="26" fillId="14" borderId="31" xfId="0" applyNumberFormat="1" applyFont="1" applyFill="1" applyBorder="1" applyAlignment="1" applyProtection="1">
      <alignment horizontal="center" vertical="center"/>
    </xf>
    <xf numFmtId="3" fontId="26" fillId="14" borderId="22" xfId="0" applyNumberFormat="1" applyFont="1" applyFill="1" applyBorder="1" applyAlignment="1" applyProtection="1">
      <alignment horizontal="center" vertical="center"/>
    </xf>
    <xf numFmtId="3" fontId="26" fillId="14" borderId="24" xfId="0" applyNumberFormat="1" applyFont="1" applyFill="1" applyBorder="1" applyAlignment="1" applyProtection="1">
      <alignment horizontal="center" vertical="center"/>
    </xf>
    <xf numFmtId="0" fontId="26" fillId="14" borderId="74" xfId="0" applyFont="1" applyFill="1" applyBorder="1" applyAlignment="1">
      <alignment horizontal="left" vertical="top" wrapText="1"/>
    </xf>
    <xf numFmtId="3" fontId="26" fillId="14" borderId="70" xfId="0" applyNumberFormat="1" applyFont="1" applyFill="1" applyBorder="1" applyAlignment="1">
      <alignment horizontal="center" vertical="center"/>
    </xf>
    <xf numFmtId="3" fontId="26" fillId="14" borderId="4" xfId="0" applyNumberFormat="1" applyFont="1" applyFill="1" applyBorder="1" applyAlignment="1" applyProtection="1">
      <alignment horizontal="center" vertical="center"/>
    </xf>
    <xf numFmtId="3" fontId="26" fillId="14" borderId="10" xfId="0" applyNumberFormat="1" applyFont="1" applyFill="1" applyBorder="1" applyAlignment="1" applyProtection="1">
      <alignment horizontal="center" vertical="center"/>
    </xf>
    <xf numFmtId="0" fontId="26" fillId="14" borderId="63" xfId="0" applyFont="1" applyFill="1" applyBorder="1" applyAlignment="1">
      <alignment horizontal="left" vertical="top" wrapText="1"/>
    </xf>
    <xf numFmtId="3" fontId="26" fillId="14" borderId="45" xfId="0" applyNumberFormat="1" applyFont="1" applyFill="1" applyBorder="1" applyAlignment="1" applyProtection="1">
      <alignment horizontal="center" vertical="center"/>
    </xf>
    <xf numFmtId="3" fontId="26" fillId="14" borderId="42" xfId="0" applyNumberFormat="1" applyFont="1" applyFill="1" applyBorder="1" applyAlignment="1" applyProtection="1">
      <alignment horizontal="center" vertical="center"/>
    </xf>
    <xf numFmtId="0" fontId="26" fillId="14" borderId="19" xfId="0" applyFont="1" applyFill="1" applyBorder="1" applyAlignment="1">
      <alignment horizontal="left" vertical="top" wrapText="1"/>
    </xf>
    <xf numFmtId="3" fontId="26" fillId="14" borderId="19" xfId="0" applyNumberFormat="1" applyFont="1" applyFill="1" applyBorder="1" applyAlignment="1">
      <alignment horizontal="center" vertical="center"/>
    </xf>
    <xf numFmtId="3" fontId="26" fillId="14" borderId="32" xfId="0" applyNumberFormat="1" applyFont="1" applyFill="1" applyBorder="1" applyAlignment="1">
      <alignment horizontal="center" vertical="center"/>
    </xf>
    <xf numFmtId="3" fontId="26" fillId="14" borderId="39" xfId="0" applyNumberFormat="1" applyFont="1" applyFill="1" applyBorder="1" applyAlignment="1">
      <alignment horizontal="center" vertical="center"/>
    </xf>
    <xf numFmtId="3" fontId="26" fillId="14" borderId="30" xfId="0" applyNumberFormat="1" applyFont="1" applyFill="1" applyBorder="1" applyAlignment="1" applyProtection="1">
      <alignment horizontal="center" vertical="center"/>
    </xf>
    <xf numFmtId="3" fontId="26" fillId="14" borderId="29" xfId="0" applyNumberFormat="1" applyFont="1" applyFill="1" applyBorder="1" applyAlignment="1" applyProtection="1">
      <alignment horizontal="center" vertical="center"/>
    </xf>
    <xf numFmtId="3" fontId="26" fillId="14" borderId="39" xfId="0" applyNumberFormat="1" applyFont="1" applyFill="1" applyBorder="1" applyAlignment="1" applyProtection="1">
      <alignment horizontal="center" vertical="center"/>
    </xf>
    <xf numFmtId="0" fontId="26" fillId="14" borderId="25" xfId="0" applyFont="1" applyFill="1" applyBorder="1" applyAlignment="1">
      <alignment vertical="top" wrapText="1"/>
    </xf>
    <xf numFmtId="3" fontId="26" fillId="14" borderId="32" xfId="0" applyNumberFormat="1" applyFont="1" applyFill="1" applyBorder="1" applyAlignment="1" applyProtection="1">
      <alignment horizontal="center" vertical="center"/>
    </xf>
    <xf numFmtId="0" fontId="26" fillId="14" borderId="19" xfId="0" applyFont="1" applyFill="1" applyBorder="1" applyAlignment="1" applyProtection="1">
      <alignment horizontal="left" vertical="top" wrapText="1"/>
    </xf>
    <xf numFmtId="3" fontId="26" fillId="14" borderId="19" xfId="0" applyNumberFormat="1" applyFont="1" applyFill="1" applyBorder="1" applyAlignment="1" applyProtection="1">
      <alignment horizontal="center" vertical="center"/>
    </xf>
    <xf numFmtId="3" fontId="26" fillId="14" borderId="26" xfId="0" applyNumberFormat="1" applyFont="1" applyFill="1" applyBorder="1" applyAlignment="1">
      <alignment horizontal="center" vertical="center"/>
    </xf>
    <xf numFmtId="0" fontId="26" fillId="14" borderId="25" xfId="0" applyFont="1" applyFill="1" applyBorder="1" applyAlignment="1">
      <alignment horizontal="left" vertical="top" wrapText="1"/>
    </xf>
    <xf numFmtId="0" fontId="3" fillId="3" borderId="66" xfId="0" applyFont="1" applyFill="1" applyBorder="1" applyAlignment="1">
      <alignment horizontal="left" vertical="center" wrapText="1"/>
    </xf>
    <xf numFmtId="49" fontId="20" fillId="0" borderId="9" xfId="0" applyNumberFormat="1" applyFont="1" applyFill="1" applyBorder="1" applyProtection="1"/>
    <xf numFmtId="14" fontId="13" fillId="0" borderId="21" xfId="0" applyNumberFormat="1" applyFont="1" applyFill="1" applyBorder="1" applyAlignment="1" applyProtection="1">
      <alignment horizontal="left" vertical="center"/>
      <protection locked="0"/>
    </xf>
    <xf numFmtId="0" fontId="5" fillId="0" borderId="19" xfId="0" applyFont="1" applyBorder="1" applyAlignment="1" applyProtection="1">
      <alignment horizontal="left" vertical="top"/>
    </xf>
    <xf numFmtId="0" fontId="3" fillId="0" borderId="60"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38" xfId="0" applyFont="1" applyBorder="1" applyAlignment="1" applyProtection="1">
      <alignment horizontal="left" vertical="top"/>
    </xf>
    <xf numFmtId="0" fontId="3" fillId="0" borderId="20" xfId="0" applyFont="1" applyFill="1" applyBorder="1" applyAlignment="1" applyProtection="1">
      <alignment horizontal="left" vertical="top" wrapText="1"/>
    </xf>
    <xf numFmtId="0" fontId="3" fillId="0" borderId="21" xfId="0" applyFont="1" applyBorder="1" applyAlignment="1" applyProtection="1">
      <alignment horizontal="left" vertical="top" wrapText="1"/>
    </xf>
    <xf numFmtId="0" fontId="3" fillId="2" borderId="66" xfId="0" applyFont="1" applyFill="1" applyBorder="1" applyAlignment="1">
      <alignment vertical="top" wrapText="1"/>
    </xf>
    <xf numFmtId="0" fontId="3" fillId="2" borderId="62" xfId="0" applyFont="1" applyFill="1" applyBorder="1" applyAlignment="1">
      <alignment vertical="top" wrapText="1"/>
    </xf>
    <xf numFmtId="0" fontId="29" fillId="3" borderId="0" xfId="0" applyFont="1" applyFill="1"/>
    <xf numFmtId="0" fontId="5" fillId="3" borderId="0" xfId="0" applyFont="1" applyFill="1" applyBorder="1" applyAlignment="1">
      <alignment horizontal="center" vertical="center" wrapText="1"/>
    </xf>
    <xf numFmtId="3" fontId="5" fillId="3" borderId="0" xfId="0" applyNumberFormat="1" applyFont="1" applyFill="1" applyBorder="1" applyAlignment="1" applyProtection="1">
      <alignment horizontal="center" vertical="center" wrapText="1"/>
      <protection locked="0"/>
    </xf>
    <xf numFmtId="3" fontId="22" fillId="3" borderId="0" xfId="0" applyNumberFormat="1" applyFont="1" applyFill="1" applyBorder="1" applyAlignment="1" applyProtection="1">
      <alignment horizontal="center" vertical="center"/>
      <protection locked="0"/>
    </xf>
    <xf numFmtId="0" fontId="21" fillId="3" borderId="0" xfId="0" applyNumberFormat="1" applyFont="1" applyFill="1" applyBorder="1" applyAlignment="1" applyProtection="1">
      <alignment horizontal="center" vertical="center"/>
    </xf>
    <xf numFmtId="14" fontId="0" fillId="0" borderId="17" xfId="0" applyNumberFormat="1" applyFont="1" applyBorder="1"/>
    <xf numFmtId="0" fontId="0" fillId="5" borderId="14" xfId="0" applyFill="1" applyBorder="1"/>
    <xf numFmtId="0" fontId="0" fillId="5" borderId="12" xfId="0" applyFill="1" applyBorder="1"/>
    <xf numFmtId="0" fontId="0" fillId="5" borderId="6" xfId="0" applyFill="1" applyBorder="1"/>
    <xf numFmtId="0" fontId="0" fillId="5" borderId="58" xfId="0" applyFill="1" applyBorder="1"/>
    <xf numFmtId="0" fontId="0" fillId="5" borderId="1" xfId="0" applyFill="1" applyBorder="1"/>
    <xf numFmtId="0" fontId="0" fillId="0" borderId="0" xfId="0" applyAlignment="1">
      <alignment horizontal="left"/>
    </xf>
    <xf numFmtId="49" fontId="0" fillId="12" borderId="1" xfId="0" applyNumberFormat="1" applyFill="1" applyBorder="1" applyAlignment="1">
      <alignment horizontal="left"/>
    </xf>
    <xf numFmtId="49" fontId="0" fillId="12" borderId="1" xfId="0" applyNumberFormat="1" applyFill="1" applyBorder="1" applyAlignment="1"/>
    <xf numFmtId="0" fontId="3" fillId="3" borderId="3" xfId="0" applyFont="1" applyFill="1" applyBorder="1" applyAlignment="1" applyProtection="1">
      <alignment horizontal="left" vertical="top" wrapText="1"/>
    </xf>
    <xf numFmtId="0" fontId="3" fillId="3" borderId="66" xfId="0" applyFont="1" applyFill="1" applyBorder="1" applyAlignment="1" applyProtection="1">
      <alignment horizontal="left" vertical="center" wrapText="1"/>
    </xf>
    <xf numFmtId="0" fontId="26" fillId="14" borderId="25" xfId="0" applyFont="1" applyFill="1" applyBorder="1" applyAlignment="1" applyProtection="1">
      <alignment vertical="top" wrapText="1"/>
    </xf>
    <xf numFmtId="0" fontId="5" fillId="4" borderId="45" xfId="0" applyFont="1" applyFill="1" applyBorder="1" applyAlignment="1" applyProtection="1">
      <alignment horizontal="left" vertical="top"/>
    </xf>
    <xf numFmtId="0" fontId="5" fillId="4" borderId="12" xfId="0" applyFont="1" applyFill="1" applyBorder="1" applyAlignment="1" applyProtection="1">
      <alignment horizontal="left" vertical="top"/>
    </xf>
    <xf numFmtId="0" fontId="5" fillId="4" borderId="51" xfId="0" applyFont="1" applyFill="1" applyBorder="1" applyAlignment="1" applyProtection="1">
      <alignment horizontal="left" vertical="top"/>
    </xf>
    <xf numFmtId="0" fontId="24" fillId="2" borderId="56" xfId="0" applyFont="1" applyFill="1" applyBorder="1" applyAlignment="1" applyProtection="1">
      <alignment horizontal="center" vertical="center" wrapText="1"/>
      <protection locked="0"/>
    </xf>
    <xf numFmtId="0" fontId="24" fillId="2" borderId="57" xfId="0" applyFont="1" applyFill="1" applyBorder="1" applyAlignment="1" applyProtection="1">
      <alignment horizontal="center" vertical="center" wrapText="1"/>
      <protection locked="0"/>
    </xf>
    <xf numFmtId="1" fontId="12" fillId="8" borderId="69" xfId="0" applyNumberFormat="1" applyFont="1" applyFill="1" applyBorder="1" applyAlignment="1" applyProtection="1">
      <alignment horizontal="center" vertical="center"/>
    </xf>
    <xf numFmtId="0" fontId="17" fillId="7" borderId="36" xfId="0" applyFont="1" applyFill="1" applyBorder="1" applyAlignment="1" applyProtection="1">
      <alignment vertical="top"/>
    </xf>
    <xf numFmtId="1" fontId="12" fillId="6" borderId="65" xfId="0" applyNumberFormat="1" applyFont="1" applyFill="1" applyBorder="1" applyAlignment="1" applyProtection="1">
      <alignment horizontal="center" vertical="center"/>
    </xf>
    <xf numFmtId="0" fontId="3" fillId="2" borderId="36" xfId="0" applyFont="1" applyFill="1" applyBorder="1" applyAlignment="1">
      <alignment vertical="top" wrapText="1"/>
    </xf>
    <xf numFmtId="0" fontId="3" fillId="2" borderId="40" xfId="0" applyFont="1" applyFill="1" applyBorder="1" applyAlignment="1">
      <alignment vertical="top" wrapText="1"/>
    </xf>
    <xf numFmtId="0" fontId="3" fillId="0" borderId="24" xfId="0" applyFont="1" applyFill="1" applyBorder="1" applyAlignment="1" applyProtection="1">
      <alignment horizontal="left" vertical="top" wrapText="1"/>
    </xf>
    <xf numFmtId="17" fontId="30" fillId="0" borderId="0" xfId="0" applyNumberFormat="1" applyFont="1" applyFill="1" applyProtection="1"/>
    <xf numFmtId="3" fontId="3" fillId="0" borderId="52" xfId="0" applyNumberFormat="1" applyFont="1" applyBorder="1" applyAlignment="1" applyProtection="1">
      <alignment horizontal="left" vertical="top" wrapText="1"/>
      <protection locked="0"/>
    </xf>
    <xf numFmtId="3" fontId="3" fillId="0" borderId="2" xfId="0" applyNumberFormat="1" applyFont="1" applyBorder="1" applyAlignment="1" applyProtection="1">
      <alignment horizontal="left" vertical="top" wrapText="1"/>
      <protection locked="0"/>
    </xf>
    <xf numFmtId="3" fontId="3" fillId="0" borderId="53" xfId="0" applyNumberFormat="1" applyFont="1" applyBorder="1" applyAlignment="1" applyProtection="1">
      <alignment horizontal="left" vertical="top" wrapText="1"/>
      <protection locked="0"/>
    </xf>
    <xf numFmtId="0" fontId="31" fillId="0" borderId="0" xfId="0" applyFont="1" applyProtection="1"/>
    <xf numFmtId="0" fontId="5" fillId="2" borderId="33"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3" borderId="34" xfId="0" applyFont="1" applyFill="1" applyBorder="1" applyAlignment="1">
      <alignment horizontal="left" vertical="top" wrapText="1"/>
    </xf>
    <xf numFmtId="0" fontId="5" fillId="16" borderId="6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38" xfId="0" applyFont="1" applyFill="1" applyBorder="1" applyAlignment="1">
      <alignment horizontal="left" vertical="top" wrapText="1"/>
    </xf>
    <xf numFmtId="0" fontId="5" fillId="14" borderId="60" xfId="0" applyFont="1" applyFill="1" applyBorder="1" applyAlignment="1">
      <alignment horizontal="left" vertical="top" wrapText="1"/>
    </xf>
    <xf numFmtId="0" fontId="5" fillId="16" borderId="73" xfId="0" applyFont="1" applyFill="1" applyBorder="1" applyAlignment="1">
      <alignment horizontal="left" vertical="top" wrapText="1"/>
    </xf>
    <xf numFmtId="0" fontId="5" fillId="13" borderId="44" xfId="0" applyFont="1" applyFill="1" applyBorder="1"/>
    <xf numFmtId="0" fontId="5" fillId="13" borderId="20" xfId="0" applyFont="1" applyFill="1" applyBorder="1"/>
    <xf numFmtId="0" fontId="5" fillId="13" borderId="21" xfId="0" applyFont="1" applyFill="1" applyBorder="1"/>
    <xf numFmtId="3" fontId="5" fillId="0" borderId="24" xfId="0" applyNumberFormat="1" applyFont="1" applyBorder="1" applyAlignment="1" applyProtection="1">
      <alignment horizontal="left" vertical="top" wrapText="1"/>
      <protection locked="0"/>
    </xf>
    <xf numFmtId="3" fontId="5" fillId="0" borderId="9" xfId="0" applyNumberFormat="1" applyFont="1" applyBorder="1" applyAlignment="1" applyProtection="1">
      <alignment horizontal="left" vertical="top" wrapText="1"/>
      <protection locked="0"/>
    </xf>
    <xf numFmtId="3" fontId="5" fillId="0" borderId="21" xfId="0" applyNumberFormat="1" applyFont="1" applyBorder="1" applyAlignment="1" applyProtection="1">
      <alignment horizontal="left" vertical="top" wrapText="1"/>
      <protection locked="0"/>
    </xf>
    <xf numFmtId="14" fontId="14" fillId="3" borderId="19" xfId="0" applyNumberFormat="1" applyFont="1" applyFill="1" applyBorder="1" applyAlignment="1" applyProtection="1">
      <alignment horizontal="left" vertical="center" wrapText="1"/>
      <protection locked="0"/>
    </xf>
    <xf numFmtId="3" fontId="3" fillId="2" borderId="29" xfId="0" applyNumberFormat="1" applyFont="1" applyFill="1" applyBorder="1" applyAlignment="1" applyProtection="1">
      <alignment horizontal="center" vertical="center" wrapText="1"/>
    </xf>
    <xf numFmtId="0" fontId="0" fillId="0" borderId="0" xfId="0" applyAlignment="1">
      <alignment vertical="center"/>
    </xf>
    <xf numFmtId="3" fontId="5" fillId="4" borderId="19" xfId="0" applyNumberFormat="1" applyFont="1" applyFill="1" applyBorder="1" applyAlignment="1" applyProtection="1">
      <alignment horizontal="center" vertical="center" wrapText="1"/>
    </xf>
    <xf numFmtId="49" fontId="14" fillId="0" borderId="40" xfId="0" applyNumberFormat="1" applyFont="1" applyBorder="1" applyProtection="1"/>
    <xf numFmtId="1" fontId="12" fillId="9" borderId="38" xfId="0" applyNumberFormat="1" applyFont="1" applyFill="1" applyBorder="1" applyAlignment="1" applyProtection="1">
      <alignment horizontal="center" vertical="center"/>
    </xf>
    <xf numFmtId="49" fontId="28" fillId="0" borderId="65" xfId="2" applyNumberFormat="1" applyFont="1" applyBorder="1" applyAlignment="1" applyProtection="1">
      <alignment horizontal="left" vertical="top"/>
      <protection locked="0"/>
    </xf>
    <xf numFmtId="49" fontId="28" fillId="0" borderId="3" xfId="2" applyNumberFormat="1" applyFont="1" applyBorder="1" applyAlignment="1" applyProtection="1">
      <alignment horizontal="left" vertical="top"/>
      <protection locked="0"/>
    </xf>
    <xf numFmtId="49" fontId="28" fillId="0" borderId="15" xfId="2" applyNumberFormat="1" applyFont="1" applyBorder="1" applyAlignment="1" applyProtection="1">
      <alignment horizontal="left" vertical="top"/>
      <protection locked="0"/>
    </xf>
    <xf numFmtId="49" fontId="28" fillId="0" borderId="64" xfId="2" applyNumberFormat="1" applyFont="1" applyBorder="1" applyAlignment="1" applyProtection="1">
      <alignment horizontal="left" vertical="top"/>
      <protection locked="0"/>
    </xf>
    <xf numFmtId="49" fontId="28" fillId="0" borderId="47" xfId="2" applyNumberFormat="1" applyFont="1" applyBorder="1" applyAlignment="1" applyProtection="1">
      <alignment horizontal="left" vertical="top"/>
      <protection locked="0"/>
    </xf>
    <xf numFmtId="49" fontId="28" fillId="0" borderId="54" xfId="2" applyNumberFormat="1" applyFont="1" applyBorder="1" applyAlignment="1" applyProtection="1">
      <alignment horizontal="left" vertical="top"/>
      <protection locked="0"/>
    </xf>
    <xf numFmtId="0" fontId="18" fillId="8" borderId="0" xfId="0" applyFont="1" applyFill="1" applyAlignment="1" applyProtection="1">
      <alignment horizontal="left" vertical="top"/>
    </xf>
    <xf numFmtId="0" fontId="15" fillId="2" borderId="63" xfId="0" applyFont="1" applyFill="1" applyBorder="1" applyAlignment="1" applyProtection="1">
      <alignment horizontal="left" vertical="center"/>
    </xf>
    <xf numFmtId="0" fontId="15" fillId="2" borderId="31" xfId="0" applyFont="1" applyFill="1" applyBorder="1" applyAlignment="1" applyProtection="1">
      <alignment horizontal="left" vertical="center"/>
    </xf>
    <xf numFmtId="0" fontId="15" fillId="2" borderId="63"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36" xfId="0" applyFont="1" applyFill="1" applyBorder="1" applyAlignment="1" applyProtection="1">
      <alignment horizontal="left" vertical="center" wrapText="1"/>
    </xf>
    <xf numFmtId="0" fontId="0" fillId="2" borderId="64" xfId="0" applyFill="1" applyBorder="1" applyAlignment="1" applyProtection="1">
      <alignment horizontal="center"/>
    </xf>
    <xf numFmtId="0" fontId="0" fillId="2" borderId="37" xfId="0" applyFill="1" applyBorder="1" applyAlignment="1" applyProtection="1">
      <alignment horizontal="center"/>
    </xf>
    <xf numFmtId="0" fontId="15" fillId="2" borderId="64"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49" fontId="27" fillId="0" borderId="25" xfId="0" applyNumberFormat="1" applyFont="1" applyBorder="1" applyAlignment="1" applyProtection="1">
      <alignment horizontal="center" vertical="top" wrapText="1"/>
      <protection locked="0"/>
    </xf>
    <xf numFmtId="49" fontId="27" fillId="0" borderId="26" xfId="0" applyNumberFormat="1" applyFont="1" applyBorder="1" applyAlignment="1" applyProtection="1">
      <alignment horizontal="center" vertical="top" wrapText="1"/>
      <protection locked="0"/>
    </xf>
    <xf numFmtId="49" fontId="27" fillId="0" borderId="64" xfId="0" applyNumberFormat="1" applyFont="1" applyBorder="1" applyAlignment="1" applyProtection="1">
      <alignment horizontal="center" vertical="top" wrapText="1"/>
      <protection locked="0"/>
    </xf>
    <xf numFmtId="49" fontId="27" fillId="0" borderId="54" xfId="0" applyNumberFormat="1" applyFont="1" applyBorder="1" applyAlignment="1" applyProtection="1">
      <alignment horizontal="center" vertical="top" wrapText="1"/>
      <protection locked="0"/>
    </xf>
    <xf numFmtId="0" fontId="17" fillId="7" borderId="66" xfId="0" applyFont="1" applyFill="1" applyBorder="1" applyAlignment="1" applyProtection="1">
      <alignment horizontal="left" vertical="top"/>
    </xf>
    <xf numFmtId="0" fontId="17" fillId="7" borderId="49" xfId="0" applyFont="1" applyFill="1" applyBorder="1" applyAlignment="1" applyProtection="1">
      <alignment horizontal="left" vertical="top"/>
    </xf>
    <xf numFmtId="0" fontId="15" fillId="2" borderId="42" xfId="0" applyFont="1" applyFill="1" applyBorder="1" applyAlignment="1" applyProtection="1">
      <alignment horizontal="left" vertical="center" wrapText="1"/>
    </xf>
    <xf numFmtId="49" fontId="28" fillId="0" borderId="63" xfId="2" applyNumberFormat="1" applyFont="1" applyBorder="1" applyAlignment="1" applyProtection="1">
      <alignment horizontal="left" vertical="top" wrapText="1"/>
      <protection locked="0"/>
    </xf>
    <xf numFmtId="49" fontId="28" fillId="0" borderId="46" xfId="2" applyNumberFormat="1" applyFont="1" applyBorder="1" applyAlignment="1" applyProtection="1">
      <alignment horizontal="left" vertical="top" wrapText="1"/>
      <protection locked="0"/>
    </xf>
    <xf numFmtId="49" fontId="28" fillId="0" borderId="42" xfId="2" applyNumberFormat="1" applyFont="1" applyBorder="1" applyAlignment="1" applyProtection="1">
      <alignment horizontal="left" vertical="top" wrapText="1"/>
      <protection locked="0"/>
    </xf>
    <xf numFmtId="49" fontId="28" fillId="0" borderId="2" xfId="2" applyNumberFormat="1" applyFont="1" applyBorder="1" applyAlignment="1" applyProtection="1">
      <alignment horizontal="left" vertical="top" wrapText="1"/>
      <protection locked="0"/>
    </xf>
    <xf numFmtId="49" fontId="28" fillId="0" borderId="3" xfId="2" applyNumberFormat="1" applyFont="1" applyBorder="1" applyAlignment="1" applyProtection="1">
      <alignment horizontal="left" vertical="top" wrapText="1"/>
      <protection locked="0"/>
    </xf>
    <xf numFmtId="49" fontId="28" fillId="0" borderId="15" xfId="2" applyNumberFormat="1" applyFont="1" applyBorder="1" applyAlignment="1" applyProtection="1">
      <alignment horizontal="left" vertical="top" wrapText="1"/>
      <protection locked="0"/>
    </xf>
    <xf numFmtId="0" fontId="5" fillId="0" borderId="49" xfId="0" applyFont="1" applyFill="1" applyBorder="1" applyAlignment="1" applyProtection="1">
      <alignment horizontal="left" vertical="top"/>
    </xf>
    <xf numFmtId="0" fontId="10" fillId="0" borderId="12"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10" fillId="0" borderId="44" xfId="0" applyFont="1" applyFill="1" applyBorder="1" applyAlignment="1" applyProtection="1">
      <alignment horizontal="left" vertical="top"/>
    </xf>
    <xf numFmtId="0" fontId="10" fillId="0" borderId="20" xfId="0" applyFont="1" applyFill="1" applyBorder="1" applyAlignment="1" applyProtection="1">
      <alignment horizontal="left" vertical="top"/>
    </xf>
    <xf numFmtId="0" fontId="11" fillId="6" borderId="66" xfId="0" applyFont="1" applyFill="1" applyBorder="1" applyAlignment="1" applyProtection="1">
      <alignment horizontal="left"/>
    </xf>
    <xf numFmtId="0" fontId="11" fillId="6" borderId="49" xfId="0" applyFont="1" applyFill="1" applyBorder="1" applyAlignment="1" applyProtection="1">
      <alignment horizontal="left"/>
    </xf>
    <xf numFmtId="0" fontId="11" fillId="6" borderId="36" xfId="0" applyFont="1" applyFill="1" applyBorder="1" applyAlignment="1" applyProtection="1">
      <alignment horizontal="left"/>
    </xf>
    <xf numFmtId="49" fontId="3" fillId="0" borderId="12" xfId="0" applyNumberFormat="1" applyFont="1" applyBorder="1" applyAlignment="1" applyProtection="1">
      <alignment horizontal="left" vertical="top" wrapText="1"/>
      <protection locked="0"/>
    </xf>
    <xf numFmtId="49" fontId="3" fillId="0" borderId="9"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5" fillId="2" borderId="25"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5" fillId="2" borderId="32" xfId="0" applyFont="1" applyFill="1" applyBorder="1" applyAlignment="1" applyProtection="1">
      <alignment horizontal="left" vertical="top" wrapText="1"/>
    </xf>
    <xf numFmtId="0" fontId="5" fillId="2" borderId="33" xfId="0" applyFont="1" applyFill="1" applyBorder="1" applyAlignment="1" applyProtection="1">
      <alignment horizontal="left" vertical="top" wrapText="1"/>
    </xf>
    <xf numFmtId="0" fontId="5" fillId="2" borderId="26" xfId="0" applyFont="1" applyFill="1" applyBorder="1" applyAlignment="1" applyProtection="1">
      <alignment horizontal="left" vertical="top" wrapText="1"/>
    </xf>
    <xf numFmtId="49" fontId="3" fillId="0" borderId="44" xfId="0" applyNumberFormat="1" applyFont="1" applyBorder="1" applyAlignment="1" applyProtection="1">
      <alignment horizontal="left" vertical="top" wrapText="1"/>
      <protection locked="0"/>
    </xf>
    <xf numFmtId="49" fontId="3" fillId="0" borderId="21" xfId="0" applyNumberFormat="1" applyFont="1" applyBorder="1" applyAlignment="1" applyProtection="1">
      <alignment horizontal="left" vertical="top" wrapText="1"/>
      <protection locked="0"/>
    </xf>
    <xf numFmtId="0" fontId="3" fillId="0" borderId="31"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44" xfId="0" applyFont="1" applyBorder="1" applyAlignment="1" applyProtection="1">
      <alignment horizontal="left" vertical="top" wrapText="1"/>
    </xf>
    <xf numFmtId="0" fontId="3" fillId="0" borderId="20" xfId="0" applyFont="1" applyBorder="1" applyAlignment="1" applyProtection="1">
      <alignment horizontal="left" vertical="top" wrapText="1"/>
    </xf>
    <xf numFmtId="49" fontId="3" fillId="0" borderId="45"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wrapText="1"/>
      <protection locked="0"/>
    </xf>
    <xf numFmtId="0" fontId="11" fillId="10" borderId="2" xfId="0" applyFont="1" applyFill="1" applyBorder="1" applyAlignment="1">
      <alignment horizontal="left" vertical="top"/>
    </xf>
    <xf numFmtId="0" fontId="11" fillId="10" borderId="3" xfId="0" applyFont="1" applyFill="1" applyBorder="1" applyAlignment="1">
      <alignment horizontal="left" vertical="top"/>
    </xf>
    <xf numFmtId="0" fontId="11" fillId="10" borderId="7" xfId="0" applyFont="1" applyFill="1" applyBorder="1" applyAlignment="1">
      <alignment horizontal="left" vertical="top"/>
    </xf>
    <xf numFmtId="0" fontId="3" fillId="0" borderId="4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27" xfId="0" applyFont="1" applyBorder="1" applyAlignment="1">
      <alignment horizontal="center"/>
    </xf>
    <xf numFmtId="0" fontId="3" fillId="0" borderId="27" xfId="0" applyFont="1" applyBorder="1" applyAlignment="1">
      <alignment horizontal="left" vertical="top"/>
    </xf>
    <xf numFmtId="0" fontId="3" fillId="0" borderId="0" xfId="0" applyFont="1" applyFill="1" applyBorder="1" applyAlignment="1">
      <alignment horizontal="left" vertical="top"/>
    </xf>
    <xf numFmtId="0" fontId="3" fillId="0" borderId="22"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45" xfId="0" applyNumberFormat="1" applyFont="1" applyBorder="1" applyAlignment="1">
      <alignment horizontal="left" vertical="top" wrapText="1"/>
    </xf>
    <xf numFmtId="0" fontId="3" fillId="0" borderId="44" xfId="0" applyNumberFormat="1"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28"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26"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16" xfId="0" applyFont="1" applyBorder="1" applyAlignment="1">
      <alignment horizontal="left" vertical="top" wrapText="1"/>
    </xf>
    <xf numFmtId="0" fontId="3" fillId="0" borderId="40"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56" xfId="0" applyNumberFormat="1" applyFont="1" applyBorder="1" applyAlignment="1">
      <alignment horizontal="left" vertical="top" wrapText="1"/>
    </xf>
    <xf numFmtId="0" fontId="3" fillId="0" borderId="51" xfId="0" applyNumberFormat="1" applyFont="1" applyBorder="1" applyAlignment="1">
      <alignment horizontal="left" vertical="top" wrapText="1"/>
    </xf>
    <xf numFmtId="0" fontId="3" fillId="2" borderId="25" xfId="0" applyFont="1" applyFill="1" applyBorder="1" applyAlignment="1">
      <alignment horizontal="center" vertical="top" wrapText="1"/>
    </xf>
    <xf numFmtId="0" fontId="3" fillId="2" borderId="26" xfId="0" applyFont="1" applyFill="1" applyBorder="1" applyAlignment="1">
      <alignment horizontal="center" vertical="top"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3" fontId="3" fillId="2" borderId="66" xfId="0" applyNumberFormat="1" applyFont="1" applyFill="1" applyBorder="1" applyAlignment="1" applyProtection="1">
      <alignment horizontal="center" vertical="center" wrapText="1"/>
    </xf>
    <xf numFmtId="3" fontId="3" fillId="2" borderId="36" xfId="0" applyNumberFormat="1" applyFont="1" applyFill="1" applyBorder="1" applyAlignment="1" applyProtection="1">
      <alignment horizontal="center" vertical="center" wrapText="1"/>
    </xf>
    <xf numFmtId="3" fontId="3" fillId="2" borderId="48" xfId="0" applyNumberFormat="1" applyFont="1" applyFill="1" applyBorder="1" applyAlignment="1" applyProtection="1">
      <alignment horizontal="center" vertical="center" wrapText="1"/>
    </xf>
    <xf numFmtId="3" fontId="3" fillId="2" borderId="16" xfId="0" applyNumberFormat="1" applyFont="1" applyFill="1" applyBorder="1" applyAlignment="1" applyProtection="1">
      <alignment horizontal="center" vertical="center" wrapText="1"/>
    </xf>
    <xf numFmtId="3" fontId="3" fillId="2" borderId="62" xfId="0" applyNumberFormat="1" applyFont="1" applyFill="1" applyBorder="1" applyAlignment="1" applyProtection="1">
      <alignment horizontal="center" vertical="center" wrapText="1"/>
    </xf>
    <xf numFmtId="3" fontId="3" fillId="2" borderId="40" xfId="0" applyNumberFormat="1" applyFont="1" applyFill="1" applyBorder="1" applyAlignment="1" applyProtection="1">
      <alignment horizontal="center" vertical="center" wrapText="1"/>
    </xf>
    <xf numFmtId="0" fontId="3" fillId="0" borderId="28" xfId="0" applyNumberFormat="1" applyFont="1" applyBorder="1" applyAlignment="1">
      <alignment horizontal="left" vertical="top" wrapText="1"/>
    </xf>
    <xf numFmtId="0" fontId="3" fillId="0" borderId="41" xfId="0" applyNumberFormat="1" applyFont="1" applyBorder="1" applyAlignment="1">
      <alignment horizontal="left" vertical="top" wrapText="1"/>
    </xf>
    <xf numFmtId="0" fontId="10" fillId="0" borderId="1" xfId="0" applyFont="1" applyBorder="1" applyAlignment="1">
      <alignment horizontal="left" vertical="top"/>
    </xf>
    <xf numFmtId="0" fontId="3" fillId="0" borderId="12"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19" fillId="10" borderId="0" xfId="0" applyFont="1" applyFill="1" applyAlignment="1">
      <alignment horizontal="left"/>
    </xf>
    <xf numFmtId="14" fontId="13" fillId="0" borderId="1" xfId="0" applyNumberFormat="1" applyFont="1" applyBorder="1" applyAlignment="1" applyProtection="1">
      <alignment horizontal="left" vertical="center"/>
      <protection locked="0"/>
    </xf>
    <xf numFmtId="49" fontId="20" fillId="0" borderId="1" xfId="0" applyNumberFormat="1" applyFont="1" applyBorder="1" applyAlignment="1">
      <alignment horizontal="left" vertical="top"/>
    </xf>
    <xf numFmtId="0" fontId="3" fillId="2" borderId="25" xfId="0" applyFont="1" applyFill="1" applyBorder="1" applyAlignment="1">
      <alignment horizontal="center"/>
    </xf>
    <xf numFmtId="0" fontId="3" fillId="2" borderId="27" xfId="0" applyFont="1" applyFill="1" applyBorder="1" applyAlignment="1">
      <alignment horizontal="center"/>
    </xf>
    <xf numFmtId="0" fontId="3" fillId="2" borderId="26" xfId="0" applyFont="1" applyFill="1" applyBorder="1" applyAlignment="1">
      <alignment horizontal="center"/>
    </xf>
    <xf numFmtId="49" fontId="5" fillId="0" borderId="34"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23" xfId="0" applyNumberFormat="1" applyFont="1" applyFill="1" applyBorder="1" applyAlignment="1" applyProtection="1">
      <alignment horizontal="left" vertical="top" wrapText="1"/>
      <protection locked="0"/>
    </xf>
    <xf numFmtId="0" fontId="5" fillId="2" borderId="25" xfId="0" applyFont="1" applyFill="1" applyBorder="1" applyAlignment="1">
      <alignment horizontal="left" vertical="center"/>
    </xf>
    <xf numFmtId="0" fontId="5" fillId="2" borderId="27" xfId="0" applyFont="1" applyFill="1" applyBorder="1" applyAlignment="1">
      <alignment horizontal="left" vertical="center"/>
    </xf>
    <xf numFmtId="0" fontId="5" fillId="2" borderId="26" xfId="0" applyFont="1" applyFill="1" applyBorder="1" applyAlignment="1">
      <alignment horizontal="left" vertical="center"/>
    </xf>
    <xf numFmtId="0" fontId="3" fillId="3" borderId="46"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left" vertical="top" wrapText="1"/>
    </xf>
    <xf numFmtId="0" fontId="8" fillId="2" borderId="25" xfId="0" applyFont="1" applyFill="1" applyBorder="1" applyAlignment="1">
      <alignment horizontal="center" vertical="top"/>
    </xf>
    <xf numFmtId="0" fontId="8" fillId="2" borderId="27" xfId="0" applyFont="1" applyFill="1" applyBorder="1" applyAlignment="1">
      <alignment horizontal="center" vertical="top"/>
    </xf>
    <xf numFmtId="0" fontId="8" fillId="2" borderId="26" xfId="0" applyFont="1" applyFill="1" applyBorder="1" applyAlignment="1">
      <alignment horizontal="center" vertical="top"/>
    </xf>
    <xf numFmtId="0" fontId="3" fillId="0" borderId="53"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 borderId="34" xfId="0" applyFont="1" applyFill="1" applyBorder="1" applyAlignment="1" applyProtection="1">
      <alignment horizontal="left" vertical="top" wrapText="1"/>
    </xf>
    <xf numFmtId="0" fontId="3" fillId="3" borderId="11" xfId="0" applyFont="1" applyFill="1" applyBorder="1" applyAlignment="1" applyProtection="1">
      <alignment horizontal="left" vertical="top" wrapText="1"/>
    </xf>
    <xf numFmtId="0" fontId="3" fillId="3" borderId="23" xfId="0" applyFont="1" applyFill="1" applyBorder="1" applyAlignment="1" applyProtection="1">
      <alignment horizontal="left" vertical="top" wrapText="1"/>
    </xf>
    <xf numFmtId="0" fontId="5" fillId="2" borderId="25" xfId="0" applyFont="1" applyFill="1" applyBorder="1" applyAlignment="1" applyProtection="1">
      <alignment horizontal="left" vertical="center"/>
    </xf>
    <xf numFmtId="0" fontId="5" fillId="2" borderId="27" xfId="0" applyFont="1" applyFill="1" applyBorder="1" applyAlignment="1" applyProtection="1">
      <alignment horizontal="left" vertical="center"/>
    </xf>
    <xf numFmtId="0" fontId="5" fillId="2" borderId="26" xfId="0" applyFont="1" applyFill="1" applyBorder="1" applyAlignment="1" applyProtection="1">
      <alignment horizontal="left" vertical="center"/>
    </xf>
    <xf numFmtId="0" fontId="3" fillId="3" borderId="46" xfId="0" applyFont="1" applyFill="1" applyBorder="1" applyAlignment="1" applyProtection="1">
      <alignment horizontal="left" vertical="top" wrapText="1"/>
    </xf>
    <xf numFmtId="0" fontId="3" fillId="3" borderId="4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15" xfId="0" applyFont="1" applyFill="1" applyBorder="1" applyAlignment="1" applyProtection="1">
      <alignment horizontal="left" vertical="top" wrapText="1"/>
    </xf>
    <xf numFmtId="0" fontId="3" fillId="3" borderId="50" xfId="0" applyFont="1" applyFill="1" applyBorder="1" applyAlignment="1" applyProtection="1">
      <alignment horizontal="left" vertical="top" wrapText="1"/>
    </xf>
    <xf numFmtId="0" fontId="3" fillId="3" borderId="40" xfId="0" applyFont="1" applyFill="1" applyBorder="1" applyAlignment="1" applyProtection="1">
      <alignment horizontal="left" vertical="top" wrapText="1"/>
    </xf>
    <xf numFmtId="0" fontId="5" fillId="2" borderId="25" xfId="0" applyFont="1" applyFill="1" applyBorder="1" applyAlignment="1">
      <alignment horizontal="left" vertical="top"/>
    </xf>
    <xf numFmtId="0" fontId="5" fillId="2" borderId="27" xfId="0" applyFont="1" applyFill="1" applyBorder="1" applyAlignment="1">
      <alignment horizontal="left" vertical="top"/>
    </xf>
    <xf numFmtId="0" fontId="5" fillId="2" borderId="26" xfId="0" applyFont="1" applyFill="1" applyBorder="1" applyAlignment="1">
      <alignment horizontal="left" vertical="top"/>
    </xf>
    <xf numFmtId="0" fontId="3" fillId="3" borderId="25"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63" xfId="0" applyFont="1" applyFill="1" applyBorder="1" applyAlignment="1">
      <alignment horizontal="left" vertical="top" wrapText="1"/>
    </xf>
    <xf numFmtId="0" fontId="3" fillId="3" borderId="65" xfId="0" applyFont="1" applyFill="1" applyBorder="1" applyAlignment="1">
      <alignment horizontal="left" vertical="top" wrapText="1"/>
    </xf>
    <xf numFmtId="0" fontId="3" fillId="3" borderId="62" xfId="0" applyFont="1" applyFill="1" applyBorder="1" applyAlignment="1">
      <alignment horizontal="left" vertical="top" wrapText="1"/>
    </xf>
    <xf numFmtId="0" fontId="3" fillId="2" borderId="6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36" xfId="0" applyNumberFormat="1" applyFont="1" applyFill="1" applyBorder="1" applyAlignment="1">
      <alignment horizontal="center" vertical="center"/>
    </xf>
    <xf numFmtId="0" fontId="5" fillId="2" borderId="27" xfId="0" applyFont="1" applyFill="1" applyBorder="1" applyAlignment="1">
      <alignment horizontal="center" vertical="center" wrapText="1"/>
    </xf>
    <xf numFmtId="0" fontId="3" fillId="2" borderId="66" xfId="0" applyFont="1" applyFill="1" applyBorder="1" applyAlignment="1">
      <alignment horizontal="center"/>
    </xf>
    <xf numFmtId="0" fontId="3" fillId="2" borderId="36" xfId="0" applyFont="1" applyFill="1" applyBorder="1" applyAlignment="1">
      <alignment horizontal="center"/>
    </xf>
    <xf numFmtId="0" fontId="3" fillId="2" borderId="48" xfId="0" applyFont="1" applyFill="1" applyBorder="1" applyAlignment="1">
      <alignment horizontal="center"/>
    </xf>
    <xf numFmtId="0" fontId="3" fillId="2" borderId="16" xfId="0" applyFont="1" applyFill="1" applyBorder="1" applyAlignment="1">
      <alignment horizontal="center"/>
    </xf>
    <xf numFmtId="0" fontId="3" fillId="2" borderId="62" xfId="0" applyFont="1" applyFill="1" applyBorder="1" applyAlignment="1">
      <alignment horizontal="center"/>
    </xf>
    <xf numFmtId="0" fontId="3" fillId="2" borderId="40" xfId="0" applyFont="1" applyFill="1" applyBorder="1" applyAlignment="1">
      <alignment horizontal="center"/>
    </xf>
    <xf numFmtId="0" fontId="3" fillId="2" borderId="49" xfId="0" applyFont="1" applyFill="1" applyBorder="1" applyAlignment="1">
      <alignment horizontal="center"/>
    </xf>
    <xf numFmtId="0" fontId="3" fillId="2" borderId="0" xfId="0" applyFont="1" applyFill="1" applyBorder="1" applyAlignment="1">
      <alignment horizontal="center"/>
    </xf>
    <xf numFmtId="0" fontId="3" fillId="2" borderId="50" xfId="0" applyFont="1" applyFill="1" applyBorder="1" applyAlignment="1">
      <alignment horizontal="center"/>
    </xf>
    <xf numFmtId="49" fontId="5" fillId="3" borderId="34" xfId="0" applyNumberFormat="1" applyFont="1" applyFill="1" applyBorder="1" applyAlignment="1" applyProtection="1">
      <alignment horizontal="left" vertical="top" wrapText="1"/>
      <protection locked="0"/>
    </xf>
    <xf numFmtId="49" fontId="5" fillId="3" borderId="11" xfId="0" applyNumberFormat="1" applyFont="1" applyFill="1" applyBorder="1" applyAlignment="1" applyProtection="1">
      <alignment horizontal="left" vertical="top" wrapText="1"/>
      <protection locked="0"/>
    </xf>
    <xf numFmtId="49" fontId="5" fillId="3" borderId="23" xfId="0" applyNumberFormat="1" applyFont="1" applyFill="1" applyBorder="1" applyAlignment="1" applyProtection="1">
      <alignment horizontal="left" vertical="top" wrapText="1"/>
      <protection locked="0"/>
    </xf>
    <xf numFmtId="0" fontId="3" fillId="3" borderId="23" xfId="0" applyFont="1" applyFill="1" applyBorder="1" applyAlignment="1">
      <alignment horizontal="left" vertical="top" wrapText="1"/>
    </xf>
    <xf numFmtId="0" fontId="3" fillId="2" borderId="25" xfId="0" applyNumberFormat="1"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49" fontId="22" fillId="2" borderId="66" xfId="0" applyNumberFormat="1" applyFont="1" applyFill="1" applyBorder="1" applyAlignment="1" applyProtection="1">
      <alignment horizontal="center" vertical="center"/>
      <protection locked="0"/>
    </xf>
    <xf numFmtId="49" fontId="22" fillId="2" borderId="36" xfId="0" applyNumberFormat="1" applyFont="1" applyFill="1" applyBorder="1" applyAlignment="1" applyProtection="1">
      <alignment horizontal="center" vertical="center"/>
      <protection locked="0"/>
    </xf>
    <xf numFmtId="49" fontId="22" fillId="2" borderId="48" xfId="0" applyNumberFormat="1" applyFont="1" applyFill="1" applyBorder="1" applyAlignment="1" applyProtection="1">
      <alignment horizontal="center" vertical="center"/>
      <protection locked="0"/>
    </xf>
    <xf numFmtId="49" fontId="22" fillId="2" borderId="16" xfId="0" applyNumberFormat="1" applyFont="1" applyFill="1" applyBorder="1" applyAlignment="1" applyProtection="1">
      <alignment horizontal="center" vertical="center"/>
      <protection locked="0"/>
    </xf>
    <xf numFmtId="49" fontId="22" fillId="2" borderId="62" xfId="0" applyNumberFormat="1" applyFont="1" applyFill="1" applyBorder="1" applyAlignment="1" applyProtection="1">
      <alignment horizontal="center" vertical="center"/>
      <protection locked="0"/>
    </xf>
    <xf numFmtId="49" fontId="22" fillId="2" borderId="40" xfId="0" applyNumberFormat="1" applyFont="1" applyFill="1" applyBorder="1" applyAlignment="1" applyProtection="1">
      <alignment horizontal="center" vertical="center"/>
      <protection locked="0"/>
    </xf>
    <xf numFmtId="0" fontId="21" fillId="2" borderId="66" xfId="0" applyNumberFormat="1" applyFont="1" applyFill="1" applyBorder="1" applyAlignment="1" applyProtection="1">
      <alignment horizontal="center" vertical="center"/>
    </xf>
    <xf numFmtId="0" fontId="21" fillId="2" borderId="36" xfId="0" applyNumberFormat="1" applyFont="1" applyFill="1" applyBorder="1" applyAlignment="1" applyProtection="1">
      <alignment horizontal="center" vertical="center"/>
    </xf>
    <xf numFmtId="0" fontId="21" fillId="2" borderId="62" xfId="0" applyNumberFormat="1" applyFont="1" applyFill="1" applyBorder="1" applyAlignment="1" applyProtection="1">
      <alignment horizontal="center" vertical="center"/>
    </xf>
    <xf numFmtId="0" fontId="21" fillId="2" borderId="40" xfId="0" applyNumberFormat="1" applyFont="1" applyFill="1" applyBorder="1" applyAlignment="1" applyProtection="1">
      <alignment horizontal="center" vertical="center"/>
    </xf>
    <xf numFmtId="0" fontId="24" fillId="14" borderId="31" xfId="0" applyFont="1" applyFill="1" applyBorder="1" applyAlignment="1">
      <alignment horizontal="left" vertical="top" wrapText="1"/>
    </xf>
    <xf numFmtId="0" fontId="24" fillId="14" borderId="22" xfId="0" applyFont="1" applyFill="1" applyBorder="1" applyAlignment="1">
      <alignment horizontal="left" vertical="top" wrapText="1"/>
    </xf>
    <xf numFmtId="0" fontId="24" fillId="14" borderId="24" xfId="0" applyFont="1" applyFill="1" applyBorder="1" applyAlignment="1">
      <alignment horizontal="left" vertical="top" wrapText="1"/>
    </xf>
    <xf numFmtId="0" fontId="5" fillId="13" borderId="25" xfId="0" applyFont="1" applyFill="1" applyBorder="1" applyAlignment="1">
      <alignment horizontal="center"/>
    </xf>
    <xf numFmtId="0" fontId="5" fillId="13" borderId="27" xfId="0" applyFont="1" applyFill="1" applyBorder="1" applyAlignment="1">
      <alignment horizontal="center"/>
    </xf>
    <xf numFmtId="0" fontId="5" fillId="13" borderId="26" xfId="0" applyFont="1" applyFill="1" applyBorder="1" applyAlignment="1">
      <alignment horizont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7" xfId="0" applyFont="1" applyFill="1" applyBorder="1" applyAlignment="1">
      <alignment horizontal="left" vertical="center"/>
    </xf>
    <xf numFmtId="0" fontId="18" fillId="8" borderId="0" xfId="0" applyFont="1" applyFill="1" applyAlignment="1">
      <alignment horizontal="left" vertical="top"/>
    </xf>
    <xf numFmtId="0" fontId="5" fillId="2" borderId="3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0" xfId="0" applyFont="1" applyFill="1" applyBorder="1" applyAlignment="1">
      <alignment horizontal="center" vertical="center"/>
    </xf>
  </cellXfs>
  <cellStyles count="3">
    <cellStyle name="Lien hypertexte" xfId="2" builtinId="8"/>
    <cellStyle name="Normal" xfId="0" builtinId="0"/>
    <cellStyle name="Standard 4" xfId="1" xr:uid="{00000000-0005-0000-0000-000002000000}"/>
  </cellStyles>
  <dxfs count="0"/>
  <tableStyles count="0" defaultTableStyle="TableStyleMedium2" defaultPivotStyle="PivotStyleLight16"/>
  <colors>
    <mruColors>
      <color rgb="FF5F2C09"/>
      <color rgb="FFFF7979"/>
      <color rgb="FFFFD5D5"/>
      <color rgb="FF9191B5"/>
      <color rgb="FFD4D4E2"/>
      <color rgb="FFCC0000"/>
      <color rgb="FF595985"/>
      <color rgb="FFFF5757"/>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9">
    <tabColor theme="5"/>
  </sheetPr>
  <dimension ref="A1:E29"/>
  <sheetViews>
    <sheetView workbookViewId="0">
      <selection activeCell="C8" sqref="C8"/>
    </sheetView>
  </sheetViews>
  <sheetFormatPr baseColWidth="10" defaultRowHeight="14" x14ac:dyDescent="0.3"/>
  <cols>
    <col min="3" max="3" width="14.33203125" bestFit="1" customWidth="1"/>
  </cols>
  <sheetData>
    <row r="1" spans="1:5" x14ac:dyDescent="0.3">
      <c r="A1" s="129" t="s">
        <v>104</v>
      </c>
    </row>
    <row r="3" spans="1:5" x14ac:dyDescent="0.3">
      <c r="A3" s="131" t="s">
        <v>125</v>
      </c>
      <c r="C3" s="132" t="s">
        <v>156</v>
      </c>
      <c r="E3" s="132" t="s">
        <v>120</v>
      </c>
    </row>
    <row r="4" spans="1:5" x14ac:dyDescent="0.3">
      <c r="A4" s="194" t="s">
        <v>62</v>
      </c>
      <c r="C4" s="133" t="s">
        <v>121</v>
      </c>
      <c r="E4" s="195" t="s">
        <v>121</v>
      </c>
    </row>
    <row r="5" spans="1:5" x14ac:dyDescent="0.3">
      <c r="A5" s="130" t="s">
        <v>60</v>
      </c>
      <c r="C5" s="133" t="s">
        <v>101</v>
      </c>
      <c r="E5" s="133" t="s">
        <v>101</v>
      </c>
    </row>
    <row r="6" spans="1:5" x14ac:dyDescent="0.3">
      <c r="A6" s="130" t="s">
        <v>58</v>
      </c>
      <c r="C6" s="133" t="s">
        <v>102</v>
      </c>
      <c r="E6" s="133" t="s">
        <v>102</v>
      </c>
    </row>
    <row r="7" spans="1:5" x14ac:dyDescent="0.3">
      <c r="A7" s="130" t="s">
        <v>63</v>
      </c>
    </row>
    <row r="8" spans="1:5" x14ac:dyDescent="0.3">
      <c r="A8" s="130" t="s">
        <v>64</v>
      </c>
      <c r="C8" s="132" t="s">
        <v>105</v>
      </c>
      <c r="E8" s="132" t="s">
        <v>174</v>
      </c>
    </row>
    <row r="9" spans="1:5" x14ac:dyDescent="0.3">
      <c r="A9" s="130" t="s">
        <v>65</v>
      </c>
      <c r="C9" s="195" t="s">
        <v>121</v>
      </c>
      <c r="E9" s="195" t="s">
        <v>121</v>
      </c>
    </row>
    <row r="10" spans="1:5" x14ac:dyDescent="0.3">
      <c r="A10" s="130" t="s">
        <v>66</v>
      </c>
      <c r="C10" s="133" t="s">
        <v>101</v>
      </c>
      <c r="E10" s="307" t="s">
        <v>176</v>
      </c>
    </row>
    <row r="11" spans="1:5" x14ac:dyDescent="0.3">
      <c r="A11" s="130" t="s">
        <v>67</v>
      </c>
      <c r="C11" s="133" t="s">
        <v>102</v>
      </c>
      <c r="E11" s="306" t="s">
        <v>177</v>
      </c>
    </row>
    <row r="12" spans="1:5" x14ac:dyDescent="0.3">
      <c r="A12" s="130" t="s">
        <v>38</v>
      </c>
      <c r="C12" s="133" t="s">
        <v>103</v>
      </c>
      <c r="E12" s="305"/>
    </row>
    <row r="13" spans="1:5" x14ac:dyDescent="0.3">
      <c r="A13" s="130" t="s">
        <v>68</v>
      </c>
    </row>
    <row r="14" spans="1:5" x14ac:dyDescent="0.3">
      <c r="A14" s="130" t="s">
        <v>69</v>
      </c>
    </row>
    <row r="15" spans="1:5" x14ac:dyDescent="0.3">
      <c r="A15" s="130" t="s">
        <v>70</v>
      </c>
    </row>
    <row r="16" spans="1:5" x14ac:dyDescent="0.3">
      <c r="A16" s="130" t="s">
        <v>71</v>
      </c>
    </row>
    <row r="17" spans="1:1" x14ac:dyDescent="0.3">
      <c r="A17" s="130" t="s">
        <v>72</v>
      </c>
    </row>
    <row r="18" spans="1:1" x14ac:dyDescent="0.3">
      <c r="A18" s="130" t="s">
        <v>73</v>
      </c>
    </row>
    <row r="19" spans="1:1" x14ac:dyDescent="0.3">
      <c r="A19" s="130" t="s">
        <v>74</v>
      </c>
    </row>
    <row r="20" spans="1:1" x14ac:dyDescent="0.3">
      <c r="A20" s="130" t="s">
        <v>75</v>
      </c>
    </row>
    <row r="21" spans="1:1" x14ac:dyDescent="0.3">
      <c r="A21" s="130" t="s">
        <v>76</v>
      </c>
    </row>
    <row r="22" spans="1:1" x14ac:dyDescent="0.3">
      <c r="A22" s="130" t="s">
        <v>77</v>
      </c>
    </row>
    <row r="23" spans="1:1" x14ac:dyDescent="0.3">
      <c r="A23" s="130" t="s">
        <v>78</v>
      </c>
    </row>
    <row r="24" spans="1:1" x14ac:dyDescent="0.3">
      <c r="A24" s="130" t="s">
        <v>79</v>
      </c>
    </row>
    <row r="25" spans="1:1" x14ac:dyDescent="0.3">
      <c r="A25" s="130" t="s">
        <v>80</v>
      </c>
    </row>
    <row r="26" spans="1:1" x14ac:dyDescent="0.3">
      <c r="A26" s="130" t="s">
        <v>81</v>
      </c>
    </row>
    <row r="27" spans="1:1" x14ac:dyDescent="0.3">
      <c r="A27" s="130" t="s">
        <v>82</v>
      </c>
    </row>
    <row r="28" spans="1:1" x14ac:dyDescent="0.3">
      <c r="A28" s="130" t="s">
        <v>83</v>
      </c>
    </row>
    <row r="29" spans="1:1" x14ac:dyDescent="0.3">
      <c r="A29" s="130" t="s">
        <v>84</v>
      </c>
    </row>
  </sheetData>
  <customSheetViews>
    <customSheetView guid="{168849A9-FED9-4458-942F-290616B3A25C}" state="hidden">
      <selection activeCell="E17" sqref="E17:E18"/>
      <pageMargins left="0.7" right="0.7" top="0.78740157499999996" bottom="0.78740157499999996" header="0.3" footer="0.3"/>
      <pageSetup paperSize="9" orientation="portrait" horizontalDpi="90" verticalDpi="90" r:id="rId1"/>
    </customSheetView>
  </customSheetViews>
  <pageMargins left="0.7" right="0.7" top="0.78740157499999996" bottom="0.78740157499999996" header="0.3" footer="0.3"/>
  <pageSetup paperSize="9"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3" tint="0.59999389629810485"/>
    <pageSetUpPr fitToPage="1"/>
  </sheetPr>
  <dimension ref="B1:K30"/>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45" t="s">
        <v>163</v>
      </c>
      <c r="C1" s="445"/>
      <c r="D1" s="445"/>
      <c r="E1" s="445"/>
      <c r="F1" s="445"/>
      <c r="G1" s="445"/>
      <c r="H1" s="445"/>
      <c r="I1" s="445"/>
    </row>
    <row r="2" spans="2:11" s="1" customFormat="1" x14ac:dyDescent="0.3">
      <c r="B2" s="16"/>
      <c r="C2" s="16"/>
      <c r="D2" s="16"/>
      <c r="E2" s="16"/>
      <c r="F2" s="16"/>
      <c r="G2" s="16"/>
    </row>
    <row r="3" spans="2:11" s="1" customFormat="1" ht="28.5" customHeight="1" x14ac:dyDescent="0.3">
      <c r="B3" s="98" t="s">
        <v>40</v>
      </c>
      <c r="C3" s="447" t="str">
        <f>Inhaltsverzeichnis!D4</f>
        <v>CH</v>
      </c>
      <c r="D3" s="447"/>
      <c r="E3" s="96"/>
      <c r="F3" s="96"/>
    </row>
    <row r="4" spans="2:11" s="1" customFormat="1" ht="28.5" customHeight="1" x14ac:dyDescent="0.3">
      <c r="B4" s="98" t="s">
        <v>99</v>
      </c>
      <c r="C4" s="446"/>
      <c r="D4" s="446"/>
      <c r="E4" s="96"/>
      <c r="F4" s="96"/>
      <c r="H4" s="97"/>
    </row>
    <row r="5" spans="2:11" ht="13" customHeight="1" thickBot="1" x14ac:dyDescent="0.35"/>
    <row r="6" spans="2:11" ht="45" customHeight="1" thickBot="1" x14ac:dyDescent="0.35">
      <c r="B6" s="448"/>
      <c r="C6" s="449"/>
      <c r="D6" s="449"/>
      <c r="E6" s="449"/>
      <c r="F6" s="449"/>
      <c r="G6" s="449"/>
      <c r="H6" s="449"/>
      <c r="I6" s="450"/>
      <c r="K6" s="71" t="s">
        <v>13</v>
      </c>
    </row>
    <row r="7" spans="2:11" s="16" customFormat="1" ht="45" customHeight="1" thickBot="1" x14ac:dyDescent="0.35">
      <c r="B7" s="174" t="s">
        <v>116</v>
      </c>
      <c r="C7" s="170" t="s">
        <v>1</v>
      </c>
      <c r="D7" s="171" t="s">
        <v>46</v>
      </c>
      <c r="E7" s="171" t="s">
        <v>42</v>
      </c>
      <c r="F7" s="171" t="s">
        <v>181</v>
      </c>
      <c r="G7" s="171" t="s">
        <v>43</v>
      </c>
      <c r="H7" s="172" t="s">
        <v>47</v>
      </c>
      <c r="I7" s="173" t="s">
        <v>48</v>
      </c>
      <c r="J7" s="128"/>
      <c r="K7" s="451"/>
    </row>
    <row r="8" spans="2:11" ht="60" customHeight="1" thickBot="1" x14ac:dyDescent="0.35">
      <c r="B8" s="100" t="s">
        <v>53</v>
      </c>
      <c r="C8" s="102">
        <f>SUM(D8:E8, G8)</f>
        <v>0</v>
      </c>
      <c r="D8" s="103"/>
      <c r="E8" s="104"/>
      <c r="F8" s="104"/>
      <c r="G8" s="104"/>
      <c r="H8" s="126"/>
      <c r="I8" s="105"/>
      <c r="K8" s="452"/>
    </row>
    <row r="9" spans="2:11" ht="43.5" customHeight="1" thickBot="1" x14ac:dyDescent="0.35">
      <c r="B9" s="282" t="s">
        <v>240</v>
      </c>
      <c r="C9" s="280">
        <f>SUM(D9:E9, G9)</f>
        <v>4906</v>
      </c>
      <c r="D9" s="278">
        <f>VLOOKUP($C$3,bestand_ias,3,FALSE)</f>
        <v>2346</v>
      </c>
      <c r="E9" s="275">
        <f>VLOOKUP($C$3,bestand_ias,4,FALSE)</f>
        <v>2560</v>
      </c>
      <c r="F9" s="275">
        <f>VLOOKUP($C$3,bestand_ias,5,FALSE)</f>
        <v>44464</v>
      </c>
      <c r="G9" s="275" t="s">
        <v>123</v>
      </c>
      <c r="H9" s="275">
        <f>VLOOKUP($C$3,bestand_ias,6,FALSE)</f>
        <v>1594</v>
      </c>
      <c r="I9" s="276">
        <f>VLOOKUP($C$3,bestand_ias,7,FALSE)</f>
        <v>3312</v>
      </c>
      <c r="K9" s="452"/>
    </row>
    <row r="10" spans="2:11" ht="14.15" customHeight="1" x14ac:dyDescent="0.3">
      <c r="B10" s="343" t="s">
        <v>247</v>
      </c>
      <c r="K10" s="452"/>
    </row>
    <row r="11" spans="2:11" ht="14.15" customHeight="1" thickBot="1" x14ac:dyDescent="0.35">
      <c r="K11" s="452"/>
    </row>
    <row r="12" spans="2:11" ht="45" customHeight="1" thickBot="1" x14ac:dyDescent="0.35">
      <c r="B12" s="454" t="s">
        <v>49</v>
      </c>
      <c r="C12" s="455"/>
      <c r="D12" s="455"/>
      <c r="E12" s="455"/>
      <c r="F12" s="455"/>
      <c r="G12" s="455"/>
      <c r="H12" s="455"/>
      <c r="I12" s="456"/>
      <c r="J12" s="14"/>
      <c r="K12" s="452"/>
    </row>
    <row r="13" spans="2:11" ht="21" customHeight="1" x14ac:dyDescent="0.3">
      <c r="B13" s="18" t="s">
        <v>50</v>
      </c>
      <c r="C13" s="457" t="s">
        <v>128</v>
      </c>
      <c r="D13" s="457"/>
      <c r="E13" s="457"/>
      <c r="F13" s="457"/>
      <c r="G13" s="457"/>
      <c r="H13" s="457"/>
      <c r="I13" s="458"/>
      <c r="J13" s="12"/>
      <c r="K13" s="452"/>
    </row>
    <row r="14" spans="2:11" ht="43.5" customHeight="1" x14ac:dyDescent="0.3">
      <c r="B14" s="19" t="s">
        <v>29</v>
      </c>
      <c r="C14" s="459" t="s">
        <v>126</v>
      </c>
      <c r="D14" s="459"/>
      <c r="E14" s="459"/>
      <c r="F14" s="459"/>
      <c r="G14" s="459"/>
      <c r="H14" s="459"/>
      <c r="I14" s="460"/>
      <c r="J14" s="12"/>
      <c r="K14" s="452"/>
    </row>
    <row r="15" spans="2:11" ht="73" customHeight="1" thickBot="1" x14ac:dyDescent="0.35">
      <c r="B15" s="20" t="s">
        <v>51</v>
      </c>
      <c r="C15" s="461" t="s">
        <v>191</v>
      </c>
      <c r="D15" s="461"/>
      <c r="E15" s="461"/>
      <c r="F15" s="461"/>
      <c r="G15" s="461"/>
      <c r="H15" s="461"/>
      <c r="I15" s="462"/>
      <c r="J15" s="12"/>
      <c r="K15" s="453"/>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sheetData>
  <sheetProtection algorithmName="SHA-512" hashValue="YfwYrTtHRT/nexSZpIxwyDDBOni1XoCxS7lQZECpKMLtjEcAJIQ+o1Jen0hY2x2HMNYV58/Hd/ptpBeLdxuuzQ==" saltValue="eEsC/Dps+rzhezbuGkD20Q==" spinCount="100000" sheet="1" selectLockedCells="1"/>
  <protectedRanges>
    <protectedRange password="CAA2" sqref="C8:C9" name="Summe"/>
  </protectedRanges>
  <customSheetViews>
    <customSheetView guid="{168849A9-FED9-4458-942F-290616B3A25C}" scale="85" showPageBreaks="1" showGridLines="0" fitToPage="1" printArea="1" topLeftCell="A7">
      <selection activeCell="B1" sqref="B1:H1"/>
      <pageMargins left="0.70866141732283472" right="0.70866141732283472" top="1.1811023622047245" bottom="0.78740157480314965" header="0.31496062992125984" footer="0.31496062992125984"/>
      <pageSetup paperSize="8" scale="87" fitToHeight="0" orientation="landscape" cellComments="atEnd" r:id="rId1"/>
      <headerFooter>
        <oddHeader>&amp;LKennzahlenraster KIP / IAS&amp;R&amp;G</oddHeader>
        <oddFooter>&amp;L&amp;A: Eröffnete Dossiers&amp;R&amp;P</oddFooter>
      </headerFooter>
    </customSheetView>
  </customSheetViews>
  <mergeCells count="9">
    <mergeCell ref="B1:I1"/>
    <mergeCell ref="C3:D3"/>
    <mergeCell ref="C4:D4"/>
    <mergeCell ref="B6:I6"/>
    <mergeCell ref="K7:K15"/>
    <mergeCell ref="B12:I12"/>
    <mergeCell ref="C13:I13"/>
    <mergeCell ref="C14:I14"/>
    <mergeCell ref="C15:I15"/>
  </mergeCells>
  <dataValidations count="3">
    <dataValidation type="whole" operator="greaterThanOrEqual" allowBlank="1" showErrorMessage="1" errorTitle="Fehler" error="Gültig sind nur positive, ganze Zahlen (0, 200, etc.). Kein Text" promptTitle="Ganze Zahlen" prompt="Nur ganzzahlige Werte (0, 1, 200 etc.)" sqref="D8:I8" xr:uid="{00000000-0002-0000-09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900-000001000000}">
      <formula1>44927</formula1>
      <formula2>45291</formula2>
    </dataValidation>
    <dataValidation allowBlank="1" sqref="C9:I9" xr:uid="{00000000-0002-0000-09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Eröffnete Dossiers&amp;R&amp;P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3" tint="0.59999389629810485"/>
    <pageSetUpPr fitToPage="1"/>
  </sheetPr>
  <dimension ref="B1:P20"/>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08203125" style="13" customWidth="1"/>
    <col min="13" max="13" width="63.58203125" style="13" customWidth="1"/>
    <col min="14" max="14" width="2.08203125" style="13" customWidth="1"/>
    <col min="15" max="16384" width="11" style="13"/>
  </cols>
  <sheetData>
    <row r="1" spans="2:16" s="1" customFormat="1" ht="28" x14ac:dyDescent="0.6">
      <c r="B1" s="445" t="s">
        <v>164</v>
      </c>
      <c r="C1" s="445"/>
      <c r="D1" s="445"/>
      <c r="E1" s="445"/>
      <c r="F1" s="445"/>
      <c r="G1" s="445"/>
      <c r="H1" s="445"/>
      <c r="I1" s="445"/>
      <c r="J1" s="445"/>
      <c r="K1" s="445"/>
    </row>
    <row r="2" spans="2:16" s="1" customFormat="1" x14ac:dyDescent="0.3">
      <c r="B2" s="16"/>
      <c r="C2" s="16"/>
      <c r="D2" s="16"/>
      <c r="E2" s="16"/>
      <c r="F2" s="16"/>
      <c r="G2" s="16"/>
    </row>
    <row r="3" spans="2:16" s="1" customFormat="1" ht="28.5" customHeight="1" x14ac:dyDescent="0.3">
      <c r="B3" s="98" t="s">
        <v>40</v>
      </c>
      <c r="C3" s="447" t="str">
        <f>Inhaltsverzeichnis!D4</f>
        <v>CH</v>
      </c>
      <c r="D3" s="447"/>
      <c r="E3" s="96"/>
      <c r="F3" s="96"/>
      <c r="O3" s="294" t="s">
        <v>121</v>
      </c>
      <c r="P3" s="294"/>
    </row>
    <row r="4" spans="2:16" s="1" customFormat="1" ht="28.5" customHeight="1" x14ac:dyDescent="0.3">
      <c r="B4" s="98" t="s">
        <v>99</v>
      </c>
      <c r="C4" s="446"/>
      <c r="D4" s="446"/>
      <c r="E4" s="96"/>
      <c r="F4" s="96"/>
      <c r="H4" s="97"/>
      <c r="O4" s="294" t="s">
        <v>173</v>
      </c>
      <c r="P4" s="294"/>
    </row>
    <row r="5" spans="2:16" ht="14.15" customHeight="1" thickBot="1" x14ac:dyDescent="0.35">
      <c r="O5" s="294" t="s">
        <v>172</v>
      </c>
      <c r="P5" s="294"/>
    </row>
    <row r="6" spans="2:16" ht="45" customHeight="1" thickBot="1" x14ac:dyDescent="0.35">
      <c r="B6" s="448"/>
      <c r="C6" s="449"/>
      <c r="D6" s="449"/>
      <c r="E6" s="449"/>
      <c r="F6" s="449"/>
      <c r="G6" s="449"/>
      <c r="H6" s="449"/>
      <c r="I6" s="450"/>
      <c r="J6" s="432" t="s">
        <v>107</v>
      </c>
      <c r="K6" s="433"/>
      <c r="M6" s="71" t="s">
        <v>13</v>
      </c>
      <c r="O6" s="294"/>
      <c r="P6" s="294"/>
    </row>
    <row r="7" spans="2:16" s="16" customFormat="1" ht="45" customHeight="1" thickBot="1" x14ac:dyDescent="0.35">
      <c r="B7" s="191" t="s">
        <v>116</v>
      </c>
      <c r="C7" s="163" t="s">
        <v>1</v>
      </c>
      <c r="D7" s="164" t="s">
        <v>46</v>
      </c>
      <c r="E7" s="164" t="s">
        <v>42</v>
      </c>
      <c r="F7" s="164" t="s">
        <v>181</v>
      </c>
      <c r="G7" s="164" t="s">
        <v>43</v>
      </c>
      <c r="H7" s="165" t="s">
        <v>47</v>
      </c>
      <c r="I7" s="166" t="s">
        <v>48</v>
      </c>
      <c r="J7" s="167" t="s">
        <v>157</v>
      </c>
      <c r="K7" s="168" t="s">
        <v>100</v>
      </c>
      <c r="M7" s="451"/>
    </row>
    <row r="8" spans="2:16" ht="60" customHeight="1" thickBot="1" x14ac:dyDescent="0.35">
      <c r="B8" s="153" t="s">
        <v>185</v>
      </c>
      <c r="C8" s="106">
        <f>SUM(D8:E8, G8)</f>
        <v>0</v>
      </c>
      <c r="D8" s="154"/>
      <c r="E8" s="155"/>
      <c r="F8" s="155"/>
      <c r="G8" s="155"/>
      <c r="H8" s="155"/>
      <c r="I8" s="156"/>
      <c r="J8" s="160" t="s">
        <v>121</v>
      </c>
      <c r="K8" s="162" t="s">
        <v>121</v>
      </c>
      <c r="M8" s="452"/>
    </row>
    <row r="9" spans="2:16" ht="43.5" customHeight="1" x14ac:dyDescent="0.3">
      <c r="B9" s="258" t="s">
        <v>241</v>
      </c>
      <c r="C9" s="259">
        <f>SUM(D9:E9, G9)</f>
        <v>17184</v>
      </c>
      <c r="D9" s="261">
        <f>VLOOKUP($C$3,bestand_ias,8,FALSE)</f>
        <v>9928</v>
      </c>
      <c r="E9" s="261">
        <f>VLOOKUP($C$3,bestand_ias,9,FALSE)</f>
        <v>7256</v>
      </c>
      <c r="F9" s="261">
        <f>VLOOKUP($C$3,bestand_ias,10,FALSE)</f>
        <v>44461</v>
      </c>
      <c r="G9" s="261" t="s">
        <v>124</v>
      </c>
      <c r="H9" s="261">
        <f>VLOOKUP($C$3,bestand_ias,11,FALSE)</f>
        <v>6969</v>
      </c>
      <c r="I9" s="262">
        <f>VLOOKUP($C$3,bestand_ias,12,FALSE)</f>
        <v>10215</v>
      </c>
      <c r="J9" s="292"/>
      <c r="K9" s="319"/>
      <c r="M9" s="452"/>
    </row>
    <row r="10" spans="2:16" ht="43.5" customHeight="1" thickBot="1" x14ac:dyDescent="0.35">
      <c r="B10" s="332" t="s">
        <v>242</v>
      </c>
      <c r="C10" s="248">
        <f>SUM(D10:E10, G10)</f>
        <v>24208</v>
      </c>
      <c r="D10" s="249">
        <f>VLOOKUP($C$3,bestand_alle,3,FALSE)</f>
        <v>14479</v>
      </c>
      <c r="E10" s="250">
        <f>VLOOKUP($C$3,bestand_alle,4,FALSE)</f>
        <v>9729</v>
      </c>
      <c r="F10" s="250">
        <f>VLOOKUP($C$3,bestand_alle,5,FALSE)</f>
        <v>44461</v>
      </c>
      <c r="G10" s="250" t="s">
        <v>124</v>
      </c>
      <c r="H10" s="250">
        <f>VLOOKUP($C$3,bestand_alle,6,FALSE)</f>
        <v>10619</v>
      </c>
      <c r="I10" s="251">
        <f>VLOOKUP($C$3,bestand_alle,7,FALSE)</f>
        <v>13589</v>
      </c>
      <c r="J10" s="293"/>
      <c r="K10" s="320"/>
      <c r="M10" s="452"/>
    </row>
    <row r="11" spans="2:16" x14ac:dyDescent="0.3">
      <c r="B11" s="343" t="s">
        <v>247</v>
      </c>
      <c r="M11" s="452"/>
    </row>
    <row r="12" spans="2:16" ht="14.5" thickBot="1" x14ac:dyDescent="0.35">
      <c r="J12" s="12"/>
      <c r="K12" s="12"/>
      <c r="M12" s="452"/>
    </row>
    <row r="13" spans="2:16" ht="45" customHeight="1" thickBot="1" x14ac:dyDescent="0.35">
      <c r="B13" s="491" t="s">
        <v>49</v>
      </c>
      <c r="C13" s="492"/>
      <c r="D13" s="492"/>
      <c r="E13" s="492"/>
      <c r="F13" s="492"/>
      <c r="G13" s="492"/>
      <c r="H13" s="492"/>
      <c r="I13" s="492"/>
      <c r="J13" s="492"/>
      <c r="K13" s="493"/>
      <c r="M13" s="452"/>
    </row>
    <row r="14" spans="2:16" ht="37.5" customHeight="1" thickBot="1" x14ac:dyDescent="0.35">
      <c r="B14" s="189" t="s">
        <v>50</v>
      </c>
      <c r="C14" s="494" t="s">
        <v>198</v>
      </c>
      <c r="D14" s="495"/>
      <c r="E14" s="495"/>
      <c r="F14" s="495"/>
      <c r="G14" s="495"/>
      <c r="H14" s="495"/>
      <c r="I14" s="495"/>
      <c r="J14" s="495"/>
      <c r="K14" s="496"/>
      <c r="M14" s="452"/>
    </row>
    <row r="15" spans="2:16" ht="98.15" customHeight="1" thickBot="1" x14ac:dyDescent="0.35">
      <c r="B15" s="187" t="s">
        <v>29</v>
      </c>
      <c r="C15" s="494" t="s">
        <v>199</v>
      </c>
      <c r="D15" s="495"/>
      <c r="E15" s="495"/>
      <c r="F15" s="495"/>
      <c r="G15" s="495"/>
      <c r="H15" s="495"/>
      <c r="I15" s="495"/>
      <c r="J15" s="495"/>
      <c r="K15" s="496"/>
      <c r="M15" s="452"/>
    </row>
    <row r="16" spans="2:16" ht="50.5" customHeight="1" thickBot="1" x14ac:dyDescent="0.35">
      <c r="B16" s="188" t="s">
        <v>51</v>
      </c>
      <c r="C16" s="494" t="s">
        <v>200</v>
      </c>
      <c r="D16" s="495"/>
      <c r="E16" s="495"/>
      <c r="F16" s="495"/>
      <c r="G16" s="495"/>
      <c r="H16" s="495"/>
      <c r="I16" s="495"/>
      <c r="J16" s="495"/>
      <c r="K16" s="496"/>
      <c r="M16" s="453"/>
    </row>
    <row r="17" spans="3:3" ht="36.75" customHeight="1" x14ac:dyDescent="0.3"/>
    <row r="20" spans="3:3" x14ac:dyDescent="0.3">
      <c r="C20" s="17"/>
    </row>
  </sheetData>
  <sheetProtection algorithmName="SHA-512" hashValue="RLAqa9dXX7jr9PUS1TizyTVZRDLXLKZXl/eCjoy8c3EeWh0NxT/0gxM7nYZP5zN6iwfItIWPGbptAPHUoUHv6A==" saltValue="u/1/qTQNNMgWB9EVcrxL/g==" spinCount="100000" sheet="1" selectLockedCells="1"/>
  <protectedRanges>
    <protectedRange password="CAA2" sqref="C8:C10" name="Summe"/>
  </protectedRanges>
  <customSheetViews>
    <customSheetView guid="{168849A9-FED9-4458-942F-290616B3A25C}" scale="85" showPageBreaks="1" showGridLines="0" fitToPage="1" printArea="1">
      <selection activeCell="N4" sqref="N4:N5"/>
      <pageMargins left="0.70866141732283472" right="0.70866141732283472" top="1.1811023622047245" bottom="0.78740157480314965" header="0.31496062992125984" footer="0.31496062992125984"/>
      <pageSetup paperSize="8" scale="71" fitToHeight="0" orientation="landscape" cellComments="atEnd" r:id="rId1"/>
      <headerFooter>
        <oddHeader>&amp;LKennzahlenraster KIP / IAS&amp;R&amp;G</oddHeader>
        <oddFooter>&amp;L&amp;A: Sprachförderung Erwachsene&amp;R&amp;P</oddFooter>
      </headerFooter>
    </customSheetView>
  </customSheetViews>
  <mergeCells count="10">
    <mergeCell ref="B1:K1"/>
    <mergeCell ref="M7:M16"/>
    <mergeCell ref="B6:I6"/>
    <mergeCell ref="J6:K6"/>
    <mergeCell ref="C3:D3"/>
    <mergeCell ref="C4:D4"/>
    <mergeCell ref="B13:K13"/>
    <mergeCell ref="C14:K14"/>
    <mergeCell ref="C15:K15"/>
    <mergeCell ref="C16:K16"/>
  </mergeCells>
  <dataValidations count="4">
    <dataValidation type="whole" operator="greaterThanOrEqual" allowBlank="1" showErrorMessage="1" errorTitle="Fehler" error="Gültig sind nur positive, ganze Zahlen (0, 200, etc.). Kein Text" promptTitle="Ganze Zahlen" prompt="Nur ganzzahlige Werte (0, 1, 200 etc.)" sqref="D8:I8" xr:uid="{00000000-0002-0000-0A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A00-000001000000}">
      <formula1>44927</formula1>
      <formula2>45291</formula2>
    </dataValidation>
    <dataValidation allowBlank="1" sqref="C9:I10" xr:uid="{00000000-0002-0000-0A00-000002000000}"/>
    <dataValidation type="list" allowBlank="1" showInputMessage="1" showErrorMessage="1" sqref="O4:O5 L8:L10" xr:uid="{00000000-0002-0000-0A00-000003000000}">
      <formula1>$O$4:$O$5</formula1>
    </dataValidation>
  </dataValidations>
  <pageMargins left="0.70866141732283472" right="0.70866141732283472" top="1.1811023622047245" bottom="0.78740157480314965" header="0.31496062992125984" footer="0.31496062992125984"/>
  <pageSetup paperSize="8" scale="63" fitToHeight="0" orientation="landscape" cellComments="atEnd" r:id="rId2"/>
  <headerFooter>
    <oddHeader>&amp;LKennzahlenraster KIP / IAS&amp;R&amp;G</oddHeader>
    <oddFooter>&amp;L&amp;A: Sprachförderung Erwachsene&amp;R&amp;P</oddFooter>
  </headerFooter>
  <legacyDrawingHF r:id="rId3"/>
  <extLst>
    <ext xmlns:x14="http://schemas.microsoft.com/office/spreadsheetml/2009/9/main" uri="{CCE6A557-97BC-4b89-ADB6-D9C93CAAB3DF}">
      <x14:dataValidations xmlns:xm="http://schemas.microsoft.com/office/excel/2006/main" count="2">
        <x14:dataValidation type="list" operator="greaterThanOrEqual" allowBlank="1" errorTitle="Fehler" error="Gültig sind nur positive, ganze Zahlen (0, 200, etc.). Kein Text" promptTitle="Ganze Zahlen" prompt="Nur ganzzahlige Werte (0, 1, 200 etc.)" xr:uid="{00000000-0002-0000-0A00-000004000000}">
          <x14:formula1>
            <xm:f>Dropdownlisten!$E$4:$E$6</xm:f>
          </x14:formula1>
          <xm:sqref>K8</xm:sqref>
        </x14:dataValidation>
        <x14:dataValidation type="list" operator="greaterThanOrEqual" allowBlank="1" xr:uid="{00000000-0002-0000-0A00-000005000000}">
          <x14:formula1>
            <xm:f>Dropdownlisten!$C$4:$C$6</xm:f>
          </x14:formula1>
          <xm:sqref>J8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3" tint="0.59999389629810485"/>
    <pageSetUpPr fitToPage="1"/>
  </sheetPr>
  <dimension ref="B1:R69"/>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0" width="15.83203125" style="13" customWidth="1"/>
    <col min="11" max="13" width="13.58203125" style="13" customWidth="1"/>
    <col min="14" max="14" width="2.58203125" style="13" customWidth="1"/>
    <col min="15" max="15" width="63.58203125" style="13" customWidth="1"/>
    <col min="16" max="16" width="2.08203125" style="13" customWidth="1"/>
    <col min="17" max="16384" width="11" style="13"/>
  </cols>
  <sheetData>
    <row r="1" spans="2:18" s="1" customFormat="1" ht="28" x14ac:dyDescent="0.6">
      <c r="B1" s="445" t="s">
        <v>165</v>
      </c>
      <c r="C1" s="445"/>
      <c r="D1" s="445"/>
      <c r="E1" s="445"/>
      <c r="F1" s="445"/>
      <c r="G1" s="445"/>
      <c r="H1" s="445"/>
      <c r="I1" s="445"/>
      <c r="J1" s="445"/>
      <c r="K1" s="445"/>
      <c r="L1" s="445"/>
      <c r="M1" s="445"/>
    </row>
    <row r="2" spans="2:18" s="1" customFormat="1" x14ac:dyDescent="0.3">
      <c r="B2" s="16"/>
      <c r="C2" s="16"/>
      <c r="D2" s="16"/>
      <c r="E2" s="16"/>
      <c r="F2" s="16"/>
    </row>
    <row r="3" spans="2:18" s="1" customFormat="1" ht="28.5" customHeight="1" x14ac:dyDescent="0.3">
      <c r="B3" s="98" t="s">
        <v>40</v>
      </c>
      <c r="C3" s="447" t="str">
        <f>Inhaltsverzeichnis!D4</f>
        <v>CH</v>
      </c>
      <c r="D3" s="447"/>
      <c r="E3" s="96"/>
    </row>
    <row r="4" spans="2:18" s="1" customFormat="1" ht="28.5" customHeight="1" x14ac:dyDescent="0.3">
      <c r="B4" s="98" t="s">
        <v>99</v>
      </c>
      <c r="C4" s="446"/>
      <c r="D4" s="446"/>
      <c r="E4" s="96"/>
      <c r="G4" s="97"/>
    </row>
    <row r="5" spans="2:18" ht="14.15" customHeight="1" thickBot="1" x14ac:dyDescent="0.35">
      <c r="O5" s="1"/>
    </row>
    <row r="6" spans="2:18" ht="45" customHeight="1" thickBot="1" x14ac:dyDescent="0.35">
      <c r="B6" s="448"/>
      <c r="C6" s="449"/>
      <c r="D6" s="449"/>
      <c r="E6" s="449"/>
      <c r="F6" s="449"/>
      <c r="G6" s="449"/>
      <c r="H6" s="450"/>
      <c r="I6" s="432" t="s">
        <v>107</v>
      </c>
      <c r="J6" s="503"/>
      <c r="K6" s="432" t="s">
        <v>108</v>
      </c>
      <c r="L6" s="503"/>
      <c r="M6" s="433"/>
      <c r="O6" s="71" t="s">
        <v>13</v>
      </c>
      <c r="P6" s="16"/>
      <c r="Q6" s="16"/>
      <c r="R6" s="16"/>
    </row>
    <row r="7" spans="2:18" s="16" customFormat="1" ht="45" customHeight="1" thickBot="1" x14ac:dyDescent="0.35">
      <c r="B7" s="174" t="s">
        <v>116</v>
      </c>
      <c r="C7" s="170" t="s">
        <v>1</v>
      </c>
      <c r="D7" s="171" t="s">
        <v>46</v>
      </c>
      <c r="E7" s="171" t="s">
        <v>42</v>
      </c>
      <c r="F7" s="171" t="s">
        <v>43</v>
      </c>
      <c r="G7" s="172" t="s">
        <v>47</v>
      </c>
      <c r="H7" s="173" t="s">
        <v>48</v>
      </c>
      <c r="I7" s="176" t="s">
        <v>157</v>
      </c>
      <c r="J7" s="177" t="s">
        <v>106</v>
      </c>
      <c r="K7" s="178" t="s">
        <v>55</v>
      </c>
      <c r="L7" s="179" t="s">
        <v>56</v>
      </c>
      <c r="M7" s="180" t="s">
        <v>54</v>
      </c>
      <c r="N7" s="13"/>
      <c r="O7" s="451"/>
    </row>
    <row r="8" spans="2:18" ht="60" customHeight="1" thickBot="1" x14ac:dyDescent="0.35">
      <c r="B8" s="469" t="s">
        <v>88</v>
      </c>
      <c r="C8" s="125">
        <f>SUM(D8:E8, F8)</f>
        <v>0</v>
      </c>
      <c r="D8" s="150"/>
      <c r="E8" s="151"/>
      <c r="F8" s="151"/>
      <c r="G8" s="151"/>
      <c r="H8" s="157"/>
      <c r="I8" s="136" t="s">
        <v>121</v>
      </c>
      <c r="J8" s="137" t="s">
        <v>121</v>
      </c>
      <c r="K8" s="160" t="s">
        <v>121</v>
      </c>
      <c r="L8" s="161" t="s">
        <v>121</v>
      </c>
      <c r="M8" s="138" t="s">
        <v>121</v>
      </c>
      <c r="O8" s="452"/>
      <c r="P8" s="16"/>
      <c r="Q8" s="16"/>
      <c r="R8" s="16"/>
    </row>
    <row r="9" spans="2:18" ht="30" customHeight="1" thickBot="1" x14ac:dyDescent="0.35">
      <c r="B9" s="470"/>
      <c r="C9" s="500"/>
      <c r="D9" s="501"/>
      <c r="E9" s="501"/>
      <c r="F9" s="501"/>
      <c r="G9" s="501"/>
      <c r="H9" s="502"/>
      <c r="I9" s="504"/>
      <c r="J9" s="505"/>
      <c r="K9" s="504"/>
      <c r="L9" s="510"/>
      <c r="M9" s="505"/>
      <c r="O9" s="452"/>
      <c r="P9" s="16"/>
      <c r="Q9" s="16"/>
      <c r="R9" s="16"/>
    </row>
    <row r="10" spans="2:18" ht="43.5" customHeight="1" x14ac:dyDescent="0.3">
      <c r="B10" s="258" t="s">
        <v>241</v>
      </c>
      <c r="C10" s="259">
        <f>SUM(D10:E10, F10)</f>
        <v>2949</v>
      </c>
      <c r="D10" s="261">
        <f>VLOOKUP($C$3,bestand_ias,13,FALSE)</f>
        <v>1990</v>
      </c>
      <c r="E10" s="261">
        <f>VLOOKUP($C$3,bestand_ias,14,FALSE)</f>
        <v>959</v>
      </c>
      <c r="F10" s="261" t="s">
        <v>124</v>
      </c>
      <c r="G10" s="261">
        <f>VLOOKUP($C$3,bestand_ias,16,FALSE)</f>
        <v>1438</v>
      </c>
      <c r="H10" s="262">
        <f>VLOOKUP($C$3,bestand_ias,17,FALSE)</f>
        <v>1511</v>
      </c>
      <c r="I10" s="506"/>
      <c r="J10" s="507"/>
      <c r="K10" s="506"/>
      <c r="L10" s="511"/>
      <c r="M10" s="507"/>
      <c r="O10" s="452"/>
      <c r="P10" s="16"/>
      <c r="Q10" s="16"/>
      <c r="R10" s="16"/>
    </row>
    <row r="11" spans="2:18" ht="43.5" customHeight="1" thickBot="1" x14ac:dyDescent="0.35">
      <c r="B11" s="331" t="s">
        <v>243</v>
      </c>
      <c r="C11" s="252">
        <f>SUM(D11:E11, F11)</f>
        <v>3323</v>
      </c>
      <c r="D11" s="253">
        <f>VLOOKUP($C$3,bestand_alle,8,FALSE)</f>
        <v>2297</v>
      </c>
      <c r="E11" s="254">
        <f>VLOOKUP($C$3,bestand_alle,9,FALSE)</f>
        <v>1026</v>
      </c>
      <c r="F11" s="254" t="s">
        <v>124</v>
      </c>
      <c r="G11" s="254">
        <f>VLOOKUP($C$3,bestand_alle,11,FALSE)</f>
        <v>1659</v>
      </c>
      <c r="H11" s="255">
        <f>VLOOKUP($C$3,bestand_alle,12,FALSE)</f>
        <v>1664</v>
      </c>
      <c r="I11" s="508"/>
      <c r="J11" s="509"/>
      <c r="K11" s="508"/>
      <c r="L11" s="512"/>
      <c r="M11" s="509"/>
      <c r="O11" s="452"/>
      <c r="P11" s="16"/>
      <c r="Q11" s="16"/>
      <c r="R11" s="16"/>
    </row>
    <row r="12" spans="2:18" ht="14.15" customHeight="1" x14ac:dyDescent="0.3">
      <c r="B12" s="343"/>
      <c r="C12" s="182"/>
      <c r="D12" s="182"/>
      <c r="E12" s="182"/>
      <c r="F12" s="182"/>
      <c r="G12" s="182"/>
      <c r="H12" s="182"/>
      <c r="I12" s="182"/>
      <c r="J12" s="182"/>
      <c r="K12" s="183"/>
      <c r="L12" s="183"/>
      <c r="M12" s="183"/>
      <c r="O12" s="452"/>
      <c r="P12" s="16"/>
      <c r="Q12" s="16"/>
      <c r="R12" s="16"/>
    </row>
    <row r="13" spans="2:18" ht="14.15" customHeight="1" thickBot="1" x14ac:dyDescent="0.35">
      <c r="B13" s="181"/>
      <c r="C13" s="181"/>
      <c r="D13" s="181"/>
      <c r="E13" s="181"/>
      <c r="F13" s="181"/>
      <c r="G13" s="181"/>
      <c r="H13" s="181"/>
      <c r="I13" s="181"/>
      <c r="J13" s="181"/>
      <c r="K13" s="181"/>
      <c r="L13" s="181"/>
      <c r="M13" s="181"/>
      <c r="O13" s="452"/>
      <c r="P13" s="16"/>
      <c r="Q13" s="16"/>
      <c r="R13" s="16"/>
    </row>
    <row r="14" spans="2:18" ht="45" customHeight="1" thickBot="1" x14ac:dyDescent="0.35">
      <c r="B14" s="491" t="s">
        <v>49</v>
      </c>
      <c r="C14" s="492"/>
      <c r="D14" s="492"/>
      <c r="E14" s="492"/>
      <c r="F14" s="492"/>
      <c r="G14" s="492"/>
      <c r="H14" s="492"/>
      <c r="I14" s="492"/>
      <c r="J14" s="492"/>
      <c r="K14" s="492"/>
      <c r="L14" s="492"/>
      <c r="M14" s="493"/>
      <c r="N14" s="14"/>
      <c r="O14" s="452"/>
      <c r="P14" s="16"/>
      <c r="Q14" s="16"/>
      <c r="R14" s="16"/>
    </row>
    <row r="15" spans="2:18" ht="56.5" customHeight="1" x14ac:dyDescent="0.3">
      <c r="B15" s="189" t="s">
        <v>50</v>
      </c>
      <c r="C15" s="497" t="s">
        <v>201</v>
      </c>
      <c r="D15" s="457"/>
      <c r="E15" s="457"/>
      <c r="F15" s="457"/>
      <c r="G15" s="457"/>
      <c r="H15" s="457"/>
      <c r="I15" s="457"/>
      <c r="J15" s="457"/>
      <c r="K15" s="457"/>
      <c r="L15" s="457"/>
      <c r="M15" s="458"/>
      <c r="N15" s="12"/>
      <c r="O15" s="452"/>
      <c r="P15" s="16"/>
      <c r="Q15" s="16"/>
      <c r="R15" s="16"/>
    </row>
    <row r="16" spans="2:18" ht="128.15" customHeight="1" x14ac:dyDescent="0.3">
      <c r="B16" s="187" t="s">
        <v>29</v>
      </c>
      <c r="C16" s="498" t="s">
        <v>202</v>
      </c>
      <c r="D16" s="459"/>
      <c r="E16" s="459"/>
      <c r="F16" s="459"/>
      <c r="G16" s="459"/>
      <c r="H16" s="459"/>
      <c r="I16" s="459"/>
      <c r="J16" s="459"/>
      <c r="K16" s="459"/>
      <c r="L16" s="459"/>
      <c r="M16" s="460"/>
      <c r="N16" s="12"/>
      <c r="O16" s="452"/>
      <c r="P16" s="16"/>
      <c r="Q16" s="16"/>
      <c r="R16" s="16"/>
    </row>
    <row r="17" spans="2:18" ht="65.150000000000006" customHeight="1" thickBot="1" x14ac:dyDescent="0.35">
      <c r="B17" s="188" t="s">
        <v>51</v>
      </c>
      <c r="C17" s="499" t="s">
        <v>203</v>
      </c>
      <c r="D17" s="461"/>
      <c r="E17" s="461"/>
      <c r="F17" s="461"/>
      <c r="G17" s="461"/>
      <c r="H17" s="461"/>
      <c r="I17" s="461"/>
      <c r="J17" s="461"/>
      <c r="K17" s="461"/>
      <c r="L17" s="461"/>
      <c r="M17" s="462"/>
      <c r="N17" s="12"/>
      <c r="O17" s="453"/>
      <c r="P17" s="16"/>
      <c r="Q17" s="16"/>
      <c r="R17" s="16"/>
    </row>
    <row r="18" spans="2:18" ht="14.15" customHeight="1" x14ac:dyDescent="0.3">
      <c r="O18" s="1"/>
      <c r="P18" s="16"/>
      <c r="Q18" s="16"/>
      <c r="R18" s="16"/>
    </row>
    <row r="19" spans="2:18" ht="14.15" customHeight="1" x14ac:dyDescent="0.3"/>
    <row r="20" spans="2:18" ht="14.15" customHeight="1" x14ac:dyDescent="0.3"/>
    <row r="21" spans="2:18" ht="14.15" customHeight="1" x14ac:dyDescent="0.3">
      <c r="C21" s="17"/>
    </row>
    <row r="22" spans="2:18" ht="14.15" customHeight="1" x14ac:dyDescent="0.3"/>
    <row r="23" spans="2:18" ht="14.15" customHeight="1" x14ac:dyDescent="0.3"/>
    <row r="24" spans="2:18" ht="14.15" customHeight="1" x14ac:dyDescent="0.3"/>
    <row r="25" spans="2:18" ht="14.15" customHeight="1" x14ac:dyDescent="0.3"/>
    <row r="26" spans="2:18" ht="14.15" customHeight="1" x14ac:dyDescent="0.3"/>
    <row r="27" spans="2:18" ht="14.15" customHeight="1" x14ac:dyDescent="0.3"/>
    <row r="28" spans="2:18" ht="14.15" customHeight="1" x14ac:dyDescent="0.3"/>
    <row r="29" spans="2:18" ht="14.15" customHeight="1" x14ac:dyDescent="0.3"/>
    <row r="30" spans="2:18" ht="14.15" customHeight="1" x14ac:dyDescent="0.3"/>
    <row r="31" spans="2:18" ht="14.15" customHeight="1" x14ac:dyDescent="0.3"/>
    <row r="32" spans="2:18"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row r="65" ht="14.15" customHeight="1" x14ac:dyDescent="0.3"/>
    <row r="66" ht="14.15" customHeight="1" x14ac:dyDescent="0.3"/>
    <row r="67" ht="14.15" customHeight="1" x14ac:dyDescent="0.3"/>
    <row r="68" ht="14.15" customHeight="1" x14ac:dyDescent="0.3"/>
    <row r="69" ht="14.15" customHeight="1" x14ac:dyDescent="0.3"/>
  </sheetData>
  <sheetProtection algorithmName="SHA-512" hashValue="XpZhV7Iq8ai3an9MVcF6HD+HGzosYbVV/tqnQwkqPCh0cBF45/Gs6lY/QEAZkjGk72OAJVNyEEXj+zlTZr5W0w==" saltValue="IR7ySaEpXGaj0RakTqayjQ==" spinCount="100000" sheet="1" selectLockedCells="1"/>
  <protectedRanges>
    <protectedRange password="CAA2" sqref="C11 C12 C8:C9" name="Summe"/>
    <protectedRange password="CAA2" sqref="C10" name="Summe_1"/>
  </protectedRanges>
  <customSheetViews>
    <customSheetView guid="{168849A9-FED9-4458-942F-290616B3A25C}" showPageBreaks="1" showGridLines="0" fitToPage="1" printArea="1" topLeftCell="A7">
      <selection activeCell="C17" sqref="C17:M17"/>
      <pageMargins left="0.70866141732283472" right="0.70866141732283472" top="1.1811023622047245" bottom="0.78740157480314965" header="0.31496062992125984" footer="0.31496062992125984"/>
      <pageSetup paperSize="8" scale="63" fitToHeight="0" orientation="landscape" cellComments="atEnd" r:id="rId1"/>
      <headerFooter>
        <oddHeader>&amp;LKennzahlenraster KIP / IAS&amp;R&amp;G</oddHeader>
        <oddFooter>&amp;L&amp;A: Sprachniveau Erwachsene&amp;R&amp;P</oddFooter>
      </headerFooter>
    </customSheetView>
  </customSheetViews>
  <mergeCells count="15">
    <mergeCell ref="O7:O17"/>
    <mergeCell ref="B14:M14"/>
    <mergeCell ref="C15:M15"/>
    <mergeCell ref="C16:M16"/>
    <mergeCell ref="B1:M1"/>
    <mergeCell ref="C3:D3"/>
    <mergeCell ref="C4:D4"/>
    <mergeCell ref="C17:M17"/>
    <mergeCell ref="C9:H9"/>
    <mergeCell ref="B6:H6"/>
    <mergeCell ref="I6:J6"/>
    <mergeCell ref="K6:M6"/>
    <mergeCell ref="I9:J11"/>
    <mergeCell ref="K9:M11"/>
    <mergeCell ref="B8:B9"/>
  </mergeCells>
  <dataValidations count="4">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B00-000001000000}">
      <formula1>44927</formula1>
      <formula2>45291</formula2>
    </dataValidation>
    <dataValidation allowBlank="1" sqref="J7 C10:H11" xr:uid="{00000000-0002-0000-0B00-000002000000}"/>
    <dataValidation operator="greaterThanOrEqual" allowBlank="1" sqref="I7" xr:uid="{00000000-0002-0000-0B00-000003000000}"/>
    <dataValidation type="whole" operator="greaterThanOrEqual" allowBlank="1" showErrorMessage="1" errorTitle="Fehler" error="Gültig sind nur positive, ganze Zahlen (0, 200, etc.). Kein Text" promptTitle="Ganze Zahlen" prompt="Nur ganzzahlige Werte (0, 1, 200 etc.)" sqref="D8:H8 D12:J12" xr:uid="{00000000-0002-0000-0B00-000000000000}">
      <formula1>0</formula1>
    </dataValidation>
  </dataValidations>
  <pageMargins left="0.70866141732283472" right="0.70866141732283472" top="1.1811023622047245" bottom="0.78740157480314965" header="0.31496062992125984" footer="0.31496062992125984"/>
  <pageSetup paperSize="8" scale="59" fitToHeight="0" orientation="landscape" cellComments="atEnd" r:id="rId2"/>
  <headerFooter>
    <oddFooter>&amp;L&amp;A: Sprachniveau Erwachsene&amp;R&amp;P</oddFooter>
  </headerFooter>
  <extLst>
    <ext xmlns:x14="http://schemas.microsoft.com/office/spreadsheetml/2009/9/main" uri="{CCE6A557-97BC-4b89-ADB6-D9C93CAAB3DF}">
      <x14:dataValidations xmlns:xm="http://schemas.microsoft.com/office/excel/2006/main" count="3">
        <x14:dataValidation type="list" allowBlank="1" xr:uid="{00000000-0002-0000-0B00-000004000000}">
          <x14:formula1>
            <xm:f>Dropdownlisten!$C$9:$C$11</xm:f>
          </x14:formula1>
          <xm:sqref>L8:M8 K8</xm:sqref>
        </x14:dataValidation>
        <x14:dataValidation type="list" xr:uid="{00000000-0002-0000-0B00-000005000000}">
          <x14:formula1>
            <xm:f>Dropdownlisten!$C$4:$C$6</xm:f>
          </x14:formula1>
          <xm:sqref>I8</xm:sqref>
        </x14:dataValidation>
        <x14:dataValidation type="list" xr:uid="{00000000-0002-0000-0B00-000006000000}">
          <x14:formula1>
            <xm:f>Dropdownlisten!$E$4:$E$6</xm:f>
          </x14:formula1>
          <xm:sqref>J8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theme="3" tint="0.59999389629810485"/>
    <pageSetUpPr fitToPage="1"/>
  </sheetPr>
  <dimension ref="B1:M31"/>
  <sheetViews>
    <sheetView showGridLines="0" zoomScale="75" zoomScaleNormal="75" workbookViewId="0">
      <selection activeCell="M7" sqref="M7:M17"/>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45" t="s">
        <v>166</v>
      </c>
      <c r="C1" s="445"/>
      <c r="D1" s="445"/>
      <c r="E1" s="445"/>
      <c r="F1" s="445"/>
      <c r="G1" s="445"/>
      <c r="H1" s="445"/>
      <c r="I1" s="445"/>
      <c r="J1" s="445"/>
      <c r="K1" s="445"/>
    </row>
    <row r="2" spans="2:13" s="1" customFormat="1" x14ac:dyDescent="0.3">
      <c r="B2" s="16"/>
      <c r="C2" s="16"/>
      <c r="D2" s="16"/>
      <c r="E2" s="16"/>
      <c r="F2" s="16"/>
      <c r="G2" s="16"/>
    </row>
    <row r="3" spans="2:13" s="1" customFormat="1" ht="28.5" customHeight="1" x14ac:dyDescent="0.3">
      <c r="B3" s="98" t="s">
        <v>40</v>
      </c>
      <c r="C3" s="447" t="str">
        <f>Inhaltsverzeichnis!D4</f>
        <v>CH</v>
      </c>
      <c r="D3" s="447"/>
      <c r="E3" s="96"/>
      <c r="F3" s="96"/>
    </row>
    <row r="4" spans="2:13" s="1" customFormat="1" ht="28.5" customHeight="1" x14ac:dyDescent="0.3">
      <c r="B4" s="98" t="s">
        <v>99</v>
      </c>
      <c r="C4" s="446"/>
      <c r="D4" s="446"/>
      <c r="E4" s="96"/>
      <c r="F4" s="96"/>
      <c r="H4" s="97"/>
    </row>
    <row r="5" spans="2:13" ht="14.15" customHeight="1" thickBot="1" x14ac:dyDescent="0.35"/>
    <row r="6" spans="2:13" ht="45" customHeight="1" thickBot="1" x14ac:dyDescent="0.35">
      <c r="B6" s="448"/>
      <c r="C6" s="449"/>
      <c r="D6" s="449"/>
      <c r="E6" s="449"/>
      <c r="F6" s="449"/>
      <c r="G6" s="449"/>
      <c r="H6" s="449"/>
      <c r="I6" s="450"/>
      <c r="J6" s="432" t="s">
        <v>107</v>
      </c>
      <c r="K6" s="433"/>
      <c r="M6" s="71" t="s">
        <v>13</v>
      </c>
    </row>
    <row r="7" spans="2:13" s="16" customFormat="1" ht="45" customHeight="1" thickBot="1" x14ac:dyDescent="0.35">
      <c r="B7" s="174" t="s">
        <v>116</v>
      </c>
      <c r="C7" s="170" t="s">
        <v>1</v>
      </c>
      <c r="D7" s="171" t="s">
        <v>46</v>
      </c>
      <c r="E7" s="171" t="s">
        <v>42</v>
      </c>
      <c r="F7" s="171" t="s">
        <v>181</v>
      </c>
      <c r="G7" s="171" t="s">
        <v>43</v>
      </c>
      <c r="H7" s="172" t="s">
        <v>47</v>
      </c>
      <c r="I7" s="173" t="s">
        <v>48</v>
      </c>
      <c r="J7" s="184" t="s">
        <v>157</v>
      </c>
      <c r="K7" s="185" t="s">
        <v>106</v>
      </c>
      <c r="L7" s="13"/>
      <c r="M7" s="513"/>
    </row>
    <row r="8" spans="2:13" ht="60" customHeight="1" thickBot="1" x14ac:dyDescent="0.35">
      <c r="B8" s="469" t="s">
        <v>87</v>
      </c>
      <c r="C8" s="116">
        <f>SUM(D8:E8, G8)</f>
        <v>0</v>
      </c>
      <c r="D8" s="150"/>
      <c r="E8" s="151"/>
      <c r="F8" s="151"/>
      <c r="G8" s="151"/>
      <c r="H8" s="151"/>
      <c r="I8" s="152"/>
      <c r="J8" s="137" t="s">
        <v>121</v>
      </c>
      <c r="K8" s="139" t="s">
        <v>121</v>
      </c>
      <c r="M8" s="514"/>
    </row>
    <row r="9" spans="2:13" ht="30" customHeight="1" thickBot="1" x14ac:dyDescent="0.35">
      <c r="B9" s="516"/>
      <c r="C9" s="517"/>
      <c r="D9" s="518"/>
      <c r="E9" s="518"/>
      <c r="F9" s="518"/>
      <c r="G9" s="518"/>
      <c r="H9" s="518"/>
      <c r="I9" s="519"/>
      <c r="J9" s="520"/>
      <c r="K9" s="521"/>
      <c r="M9" s="514"/>
    </row>
    <row r="10" spans="2:13" ht="43.5" customHeight="1" x14ac:dyDescent="0.3">
      <c r="B10" s="263" t="s">
        <v>241</v>
      </c>
      <c r="C10" s="264">
        <f>SUM(D10:E10, G10)</f>
        <v>7134</v>
      </c>
      <c r="D10" s="265">
        <f>VLOOKUP($C$3,bestand_ias,18,FALSE)</f>
        <v>5579</v>
      </c>
      <c r="E10" s="265">
        <f>VLOOKUP($C$3,bestand_ias,19,FALSE)</f>
        <v>1555</v>
      </c>
      <c r="F10" s="265">
        <f>VLOOKUP($C$3,bestand_ias,20,FALSE)</f>
        <v>3054</v>
      </c>
      <c r="G10" s="265" t="s">
        <v>124</v>
      </c>
      <c r="H10" s="265">
        <f>VLOOKUP($C$3,bestand_ias,21,FALSE)</f>
        <v>3506</v>
      </c>
      <c r="I10" s="266">
        <f>VLOOKUP($C$3,bestand_ias,22,FALSE)</f>
        <v>3628</v>
      </c>
      <c r="J10" s="522"/>
      <c r="K10" s="523"/>
      <c r="M10" s="514"/>
    </row>
    <row r="11" spans="2:13" ht="43.5" customHeight="1" thickBot="1" x14ac:dyDescent="0.35">
      <c r="B11" s="330" t="s">
        <v>244</v>
      </c>
      <c r="C11" s="248">
        <f>SUM(D11:E11, G11)</f>
        <v>8011</v>
      </c>
      <c r="D11" s="249">
        <f>VLOOKUP($C$3,bestand_alle,13,FALSE)</f>
        <v>6071</v>
      </c>
      <c r="E11" s="250">
        <f>VLOOKUP($C$3,bestand_alle,14,FALSE)</f>
        <v>1940</v>
      </c>
      <c r="F11" s="250">
        <f>VLOOKUP($C$3,bestand_alle,15,FALSE)</f>
        <v>3054</v>
      </c>
      <c r="G11" s="250" t="s">
        <v>124</v>
      </c>
      <c r="H11" s="250">
        <f>VLOOKUP($C$3,bestand_alle,16,FALSE)</f>
        <v>3927</v>
      </c>
      <c r="I11" s="251">
        <f>VLOOKUP($C$3,bestand_alle,17,FALSE)</f>
        <v>4084</v>
      </c>
      <c r="J11" s="524"/>
      <c r="K11" s="525"/>
      <c r="M11" s="514"/>
    </row>
    <row r="12" spans="2:13" ht="14.15" customHeight="1" x14ac:dyDescent="0.3">
      <c r="B12" s="343" t="s">
        <v>247</v>
      </c>
      <c r="M12" s="514"/>
    </row>
    <row r="13" spans="2:13" ht="14.15" customHeight="1" thickBot="1" x14ac:dyDescent="0.35">
      <c r="J13" s="12"/>
      <c r="K13" s="12"/>
      <c r="M13" s="514"/>
    </row>
    <row r="14" spans="2:13" ht="45" customHeight="1" thickBot="1" x14ac:dyDescent="0.35">
      <c r="B14" s="454" t="s">
        <v>49</v>
      </c>
      <c r="C14" s="455"/>
      <c r="D14" s="455"/>
      <c r="E14" s="455"/>
      <c r="F14" s="455"/>
      <c r="G14" s="455"/>
      <c r="H14" s="455"/>
      <c r="I14" s="455"/>
      <c r="J14" s="455"/>
      <c r="K14" s="456"/>
      <c r="L14" s="14"/>
      <c r="M14" s="514"/>
    </row>
    <row r="15" spans="2:13" ht="54.65" customHeight="1" x14ac:dyDescent="0.3">
      <c r="B15" s="186" t="s">
        <v>50</v>
      </c>
      <c r="C15" s="497" t="s">
        <v>204</v>
      </c>
      <c r="D15" s="457"/>
      <c r="E15" s="457"/>
      <c r="F15" s="457"/>
      <c r="G15" s="457"/>
      <c r="H15" s="457"/>
      <c r="I15" s="457"/>
      <c r="J15" s="457"/>
      <c r="K15" s="458"/>
      <c r="L15" s="12"/>
      <c r="M15" s="514"/>
    </row>
    <row r="16" spans="2:13" ht="76.5" customHeight="1" x14ac:dyDescent="0.3">
      <c r="B16" s="187" t="s">
        <v>29</v>
      </c>
      <c r="C16" s="498" t="s">
        <v>175</v>
      </c>
      <c r="D16" s="459"/>
      <c r="E16" s="459"/>
      <c r="F16" s="459"/>
      <c r="G16" s="459"/>
      <c r="H16" s="459"/>
      <c r="I16" s="459"/>
      <c r="J16" s="459"/>
      <c r="K16" s="460"/>
      <c r="L16" s="12"/>
      <c r="M16" s="514"/>
    </row>
    <row r="17" spans="2:13" ht="50.15" customHeight="1" thickBot="1" x14ac:dyDescent="0.35">
      <c r="B17" s="188" t="s">
        <v>51</v>
      </c>
      <c r="C17" s="499" t="s">
        <v>205</v>
      </c>
      <c r="D17" s="461"/>
      <c r="E17" s="461"/>
      <c r="F17" s="461"/>
      <c r="G17" s="461"/>
      <c r="H17" s="461"/>
      <c r="I17" s="461"/>
      <c r="J17" s="461"/>
      <c r="K17" s="462"/>
      <c r="L17" s="12"/>
      <c r="M17" s="515"/>
    </row>
    <row r="18" spans="2:13" ht="14.15" customHeight="1" x14ac:dyDescent="0.3"/>
    <row r="19" spans="2:13" ht="14.15" customHeight="1" x14ac:dyDescent="0.3"/>
    <row r="20" spans="2:13" ht="14.15" customHeight="1" x14ac:dyDescent="0.3"/>
    <row r="21" spans="2:13" ht="14.15" customHeight="1" x14ac:dyDescent="0.3">
      <c r="C21" s="17"/>
    </row>
    <row r="22" spans="2:13" ht="14.15" customHeight="1" x14ac:dyDescent="0.3"/>
    <row r="23" spans="2:13" ht="14.15" customHeight="1" x14ac:dyDescent="0.3"/>
    <row r="24" spans="2:13" ht="14.15" customHeight="1" x14ac:dyDescent="0.3"/>
    <row r="25" spans="2:13" ht="14.15" customHeight="1" x14ac:dyDescent="0.3"/>
    <row r="26" spans="2:13" ht="14.15" customHeight="1" x14ac:dyDescent="0.3"/>
    <row r="27" spans="2:13" ht="14.15" customHeight="1" x14ac:dyDescent="0.3"/>
    <row r="28" spans="2:13" ht="14.15" customHeight="1" x14ac:dyDescent="0.3"/>
    <row r="29" spans="2:13" ht="14.15" customHeight="1" x14ac:dyDescent="0.3"/>
    <row r="30" spans="2:13" ht="14.15" customHeight="1" x14ac:dyDescent="0.3"/>
    <row r="31" spans="2:13" ht="14.15" customHeight="1" x14ac:dyDescent="0.3"/>
  </sheetData>
  <sheetProtection algorithmName="SHA-512" hashValue="eaBC5I7Af10apSCrjRHuELyE7WeYHndW9phRD9zjUc7fK9dP22+oJRKD1pOAHriltvEC5QRXHfoZ5RX2igrSaQ==" saltValue="HLNUXrvwZky70csGCPaJlg==" spinCount="100000" sheet="1" selectLockedCells="1"/>
  <protectedRanges>
    <protectedRange password="CAA2" sqref="C8:C9 C10:C11" name="Summe"/>
  </protectedRanges>
  <customSheetViews>
    <customSheetView guid="{168849A9-FED9-4458-942F-290616B3A25C}" scale="85" showPageBreaks="1" showGridLines="0" fitToPage="1" printArea="1" topLeftCell="A13">
      <selection activeCell="C17" sqref="C17:J17"/>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Sprachförderung Vorschulkinder&amp;R&amp;P</oddFooter>
      </headerFooter>
    </customSheetView>
  </customSheetViews>
  <mergeCells count="13">
    <mergeCell ref="B1:K1"/>
    <mergeCell ref="J6:K6"/>
    <mergeCell ref="M7:M17"/>
    <mergeCell ref="C3:D3"/>
    <mergeCell ref="C4:D4"/>
    <mergeCell ref="B8:B9"/>
    <mergeCell ref="B6:I6"/>
    <mergeCell ref="C16:K16"/>
    <mergeCell ref="C17:K17"/>
    <mergeCell ref="C9:I9"/>
    <mergeCell ref="B14:K14"/>
    <mergeCell ref="C15:K15"/>
    <mergeCell ref="J9:K11"/>
  </mergeCells>
  <dataValidations count="6">
    <dataValidation type="whole" operator="greaterThanOrEqual" allowBlank="1" showErrorMessage="1" errorTitle="Fehler" error="Gültig sind nur positive, ganze Zahlen (0, 200, etc.). Kein Text" promptTitle="Ganze Zahlen" prompt="Nur ganzzahlige Werte (0, 1, 200 etc.)" sqref="D8:I8" xr:uid="{00000000-0002-0000-0C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C00-000001000000}">
      <formula1>44927</formula1>
      <formula2>45291</formula2>
    </dataValidation>
    <dataValidation operator="greaterThanOrEqual" allowBlank="1" sqref="J7:K7" xr:uid="{00000000-0002-0000-0C00-000002000000}"/>
    <dataValidation operator="greaterThanOrEqual" sqref="J9" xr:uid="{00000000-0002-0000-0C00-000003000000}"/>
    <dataValidation allowBlank="1" sqref="C10:I11" xr:uid="{00000000-0002-0000-0C00-000004000000}"/>
    <dataValidation type="date" allowBlank="1" showInputMessage="1" showErrorMessage="1" errorTitle="Erfassungsdatum" error="Bitte geben Sie ein Erfassungsdatum zwischen dem 01.01.2023 und dem 31.12.2023 ein. " promptTitle="Erfassungsdatum" prompt="Bitte Erfassungsdatum eingeben. " sqref="C17:K17" xr:uid="{03F55193-4CE1-497C-A682-9FE5804E06A7}">
      <formula1>44927</formula1>
      <formula2>45291</formula2>
    </dataValidation>
  </dataValidations>
  <pageMargins left="0.70866141732283472" right="0.70866141732283472" top="1.1811023622047245" bottom="0.78740157480314965" header="0.31496062992125984" footer="0.31496062992125984"/>
  <pageSetup paperSize="8" scale="77" fitToHeight="0" orientation="landscape" cellComments="atEnd" r:id="rId2"/>
  <headerFooter>
    <oddHeader>&amp;LKennzahlenraster KIP / IAS&amp;R&amp;G</oddHeader>
    <oddFooter>&amp;L&amp;A: Sprachförderung Vorschulkinder&amp;R&amp;P</oddFooter>
  </headerFooter>
  <legacyDrawingHF r:id="rId3"/>
  <extLst>
    <ext xmlns:x14="http://schemas.microsoft.com/office/spreadsheetml/2009/9/main" uri="{CCE6A557-97BC-4b89-ADB6-D9C93CAAB3DF}">
      <x14:dataValidations xmlns:xm="http://schemas.microsoft.com/office/excel/2006/main" count="2">
        <x14:dataValidation type="list" operator="greaterThanOrEqual" xr:uid="{00000000-0002-0000-0C00-000005000000}">
          <x14:formula1>
            <xm:f>Dropdownlisten!$C$4:$C$6</xm:f>
          </x14:formula1>
          <xm:sqref>J8</xm:sqref>
        </x14:dataValidation>
        <x14:dataValidation type="list" operator="greaterThanOrEqual" xr:uid="{00000000-0002-0000-0C00-000006000000}">
          <x14:formula1>
            <xm:f>Dropdownlisten!$E$4:$E$6</xm:f>
          </x14:formula1>
          <xm:sqref>K8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theme="3" tint="0.59999389629810485"/>
    <pageSetUpPr fitToPage="1"/>
  </sheetPr>
  <dimension ref="B1:M46"/>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58203125" style="13" customWidth="1"/>
    <col min="13" max="13" width="63.58203125" style="13" customWidth="1"/>
    <col min="14" max="16384" width="11" style="13"/>
  </cols>
  <sheetData>
    <row r="1" spans="2:13" s="1" customFormat="1" ht="28" x14ac:dyDescent="0.6">
      <c r="B1" s="445" t="s">
        <v>167</v>
      </c>
      <c r="C1" s="445"/>
      <c r="D1" s="445"/>
      <c r="E1" s="445"/>
      <c r="F1" s="445"/>
      <c r="G1" s="445"/>
      <c r="H1" s="445"/>
      <c r="I1" s="445"/>
      <c r="J1" s="445"/>
      <c r="K1" s="445"/>
      <c r="L1" s="13"/>
      <c r="M1" s="13"/>
    </row>
    <row r="2" spans="2:13" s="1" customFormat="1" x14ac:dyDescent="0.3">
      <c r="B2" s="16"/>
      <c r="C2" s="16"/>
      <c r="D2" s="16"/>
      <c r="E2" s="16"/>
      <c r="F2" s="16"/>
      <c r="G2" s="16"/>
      <c r="L2" s="13"/>
    </row>
    <row r="3" spans="2:13" s="1" customFormat="1" ht="28.5" customHeight="1" x14ac:dyDescent="0.3">
      <c r="B3" s="98" t="s">
        <v>40</v>
      </c>
      <c r="C3" s="447" t="str">
        <f>Inhaltsverzeichnis!D4</f>
        <v>CH</v>
      </c>
      <c r="D3" s="447"/>
      <c r="E3" s="96"/>
      <c r="F3" s="96"/>
      <c r="L3" s="13"/>
    </row>
    <row r="4" spans="2:13" s="1" customFormat="1" ht="28.5" customHeight="1" x14ac:dyDescent="0.3">
      <c r="B4" s="98" t="s">
        <v>99</v>
      </c>
      <c r="C4" s="446"/>
      <c r="D4" s="446"/>
      <c r="E4" s="96"/>
      <c r="F4" s="96"/>
      <c r="H4" s="97"/>
      <c r="L4" s="13"/>
    </row>
    <row r="5" spans="2:13" ht="14.15" customHeight="1" thickBot="1" x14ac:dyDescent="0.35"/>
    <row r="6" spans="2:13" ht="45" customHeight="1" thickBot="1" x14ac:dyDescent="0.35">
      <c r="B6" s="448"/>
      <c r="C6" s="449"/>
      <c r="D6" s="449"/>
      <c r="E6" s="449"/>
      <c r="F6" s="449"/>
      <c r="G6" s="449"/>
      <c r="H6" s="449"/>
      <c r="I6" s="450"/>
      <c r="J6" s="432" t="s">
        <v>107</v>
      </c>
      <c r="K6" s="433"/>
      <c r="L6" s="295"/>
      <c r="M6" s="71" t="s">
        <v>13</v>
      </c>
    </row>
    <row r="7" spans="2:13" s="16" customFormat="1" ht="45" customHeight="1" thickBot="1" x14ac:dyDescent="0.35">
      <c r="B7" s="174" t="s">
        <v>116</v>
      </c>
      <c r="C7" s="170" t="s">
        <v>1</v>
      </c>
      <c r="D7" s="171" t="s">
        <v>46</v>
      </c>
      <c r="E7" s="171" t="s">
        <v>42</v>
      </c>
      <c r="F7" s="171" t="s">
        <v>181</v>
      </c>
      <c r="G7" s="171" t="s">
        <v>43</v>
      </c>
      <c r="H7" s="172" t="s">
        <v>47</v>
      </c>
      <c r="I7" s="190" t="s">
        <v>48</v>
      </c>
      <c r="J7" s="344" t="s">
        <v>157</v>
      </c>
      <c r="K7" s="344" t="s">
        <v>106</v>
      </c>
      <c r="L7" s="296"/>
      <c r="M7" s="451"/>
    </row>
    <row r="8" spans="2:13" ht="61" customHeight="1" thickBot="1" x14ac:dyDescent="0.35">
      <c r="B8" s="329" t="s">
        <v>209</v>
      </c>
      <c r="C8" s="125">
        <f>SUM(D8:E8, G8)</f>
        <v>0</v>
      </c>
      <c r="D8" s="134"/>
      <c r="E8" s="126"/>
      <c r="F8" s="126"/>
      <c r="G8" s="126"/>
      <c r="H8" s="126"/>
      <c r="I8" s="135"/>
      <c r="J8" s="141" t="s">
        <v>121</v>
      </c>
      <c r="K8" s="140" t="s">
        <v>121</v>
      </c>
      <c r="L8" s="297"/>
      <c r="M8" s="452"/>
    </row>
    <row r="9" spans="2:13" ht="43.5" customHeight="1" x14ac:dyDescent="0.3">
      <c r="B9" s="267" t="s">
        <v>241</v>
      </c>
      <c r="C9" s="259">
        <f>SUM(D9:E9, G9)</f>
        <v>5563</v>
      </c>
      <c r="D9" s="260">
        <f>VLOOKUP($C$3,bestand_ias,23,FALSE)</f>
        <v>1804</v>
      </c>
      <c r="E9" s="260">
        <f>VLOOKUP($C$3,bestand_ias,24,FALSE)</f>
        <v>3759</v>
      </c>
      <c r="F9" s="260">
        <f>VLOOKUP($C$3,bestand_ias,25,FALSE)</f>
        <v>7019</v>
      </c>
      <c r="G9" s="261" t="s">
        <v>124</v>
      </c>
      <c r="H9" s="261">
        <f>VLOOKUP($C$3,bestand_ias,26,FALSE)</f>
        <v>1307</v>
      </c>
      <c r="I9" s="262">
        <f>VLOOKUP($C$3,bestand_ias,27,FALSE)</f>
        <v>4256</v>
      </c>
      <c r="J9" s="526"/>
      <c r="K9" s="527"/>
      <c r="L9" s="298"/>
      <c r="M9" s="452"/>
    </row>
    <row r="10" spans="2:13" ht="43.5" customHeight="1" thickBot="1" x14ac:dyDescent="0.35">
      <c r="B10" s="330" t="s">
        <v>242</v>
      </c>
      <c r="C10" s="248">
        <f>SUM(D10:E10, G10)</f>
        <v>7319</v>
      </c>
      <c r="D10" s="249">
        <f>VLOOKUP($C$3,bestand_alle,18,FALSE)</f>
        <v>2562</v>
      </c>
      <c r="E10" s="249">
        <f>VLOOKUP($C$3,bestand_alle,19,FALSE)</f>
        <v>4757</v>
      </c>
      <c r="F10" s="249">
        <f>VLOOKUP($C$3,bestand_alle,20,FALSE)</f>
        <v>7019</v>
      </c>
      <c r="G10" s="250" t="s">
        <v>124</v>
      </c>
      <c r="H10" s="250">
        <f>VLOOKUP($C$3,bestand_alle,21,FALSE)</f>
        <v>1897</v>
      </c>
      <c r="I10" s="251">
        <f>VLOOKUP($C$3,bestand_alle,22,FALSE)</f>
        <v>5422</v>
      </c>
      <c r="J10" s="528"/>
      <c r="K10" s="529"/>
      <c r="L10" s="298"/>
      <c r="M10" s="452"/>
    </row>
    <row r="11" spans="2:13" ht="14.15" customHeight="1" x14ac:dyDescent="0.3">
      <c r="B11" s="343" t="s">
        <v>247</v>
      </c>
      <c r="M11" s="452"/>
    </row>
    <row r="12" spans="2:13" ht="14.15" customHeight="1" thickBot="1" x14ac:dyDescent="0.35">
      <c r="J12" s="12"/>
      <c r="K12" s="12"/>
      <c r="M12" s="452"/>
    </row>
    <row r="13" spans="2:13" ht="45" customHeight="1" thickBot="1" x14ac:dyDescent="0.35">
      <c r="B13" s="454" t="s">
        <v>49</v>
      </c>
      <c r="C13" s="455"/>
      <c r="D13" s="455"/>
      <c r="E13" s="455"/>
      <c r="F13" s="455"/>
      <c r="G13" s="455"/>
      <c r="H13" s="455"/>
      <c r="I13" s="455"/>
      <c r="J13" s="455"/>
      <c r="K13" s="456"/>
      <c r="L13" s="14"/>
      <c r="M13" s="452"/>
    </row>
    <row r="14" spans="2:13" ht="35.25" customHeight="1" thickBot="1" x14ac:dyDescent="0.35">
      <c r="B14" s="189" t="s">
        <v>50</v>
      </c>
      <c r="C14" s="494" t="s">
        <v>206</v>
      </c>
      <c r="D14" s="495"/>
      <c r="E14" s="495"/>
      <c r="F14" s="495"/>
      <c r="G14" s="495"/>
      <c r="H14" s="495"/>
      <c r="I14" s="495"/>
      <c r="J14" s="495"/>
      <c r="K14" s="496"/>
      <c r="L14" s="12"/>
      <c r="M14" s="452"/>
    </row>
    <row r="15" spans="2:13" ht="220" customHeight="1" thickBot="1" x14ac:dyDescent="0.35">
      <c r="B15" s="187" t="s">
        <v>29</v>
      </c>
      <c r="C15" s="494" t="s">
        <v>207</v>
      </c>
      <c r="D15" s="495"/>
      <c r="E15" s="495"/>
      <c r="F15" s="495"/>
      <c r="G15" s="495"/>
      <c r="H15" s="495"/>
      <c r="I15" s="495"/>
      <c r="J15" s="495"/>
      <c r="K15" s="496"/>
      <c r="L15" s="12"/>
      <c r="M15" s="452"/>
    </row>
    <row r="16" spans="2:13" ht="46.5" customHeight="1" thickBot="1" x14ac:dyDescent="0.35">
      <c r="B16" s="188" t="s">
        <v>51</v>
      </c>
      <c r="C16" s="494" t="s">
        <v>208</v>
      </c>
      <c r="D16" s="495"/>
      <c r="E16" s="495"/>
      <c r="F16" s="495"/>
      <c r="G16" s="495"/>
      <c r="H16" s="495"/>
      <c r="I16" s="495"/>
      <c r="J16" s="495"/>
      <c r="K16" s="496"/>
      <c r="L16" s="12"/>
      <c r="M16" s="453"/>
    </row>
    <row r="17" spans="3:3" ht="14.15" customHeight="1" x14ac:dyDescent="0.3"/>
    <row r="18" spans="3:3" ht="14.15" customHeight="1" x14ac:dyDescent="0.3"/>
    <row r="19" spans="3:3" ht="14.15" customHeight="1" x14ac:dyDescent="0.3"/>
    <row r="20" spans="3:3" ht="14.15" customHeight="1" x14ac:dyDescent="0.3">
      <c r="C20" s="17"/>
    </row>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sheetData>
  <sheetProtection algorithmName="SHA-512" hashValue="+cZRUgJ1ciYhSJMdFyQJpv+5jrg8fOfLc/q8wHpofX0axNfTe2VqEWYT3WX6abL+Lx0ZbfnKkj4kxMuNFxOIaw==" saltValue="dDVJytTIFcTh72oxLAvF4g==" spinCount="100000" sheet="1" selectLockedCells="1"/>
  <protectedRanges>
    <protectedRange password="CAA2" sqref="C8:C10" name="Summe"/>
  </protectedRanges>
  <customSheetViews>
    <customSheetView guid="{168849A9-FED9-4458-942F-290616B3A25C}" scale="70" showPageBreaks="1" showGridLines="0" fitToPage="1" printArea="1" topLeftCell="A10">
      <selection activeCell="I26" sqref="I26"/>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Förderung Ausbildungsfähigkeit (16-25-Jährige)&amp;R&amp;P</oddFooter>
      </headerFooter>
    </customSheetView>
  </customSheetViews>
  <mergeCells count="11">
    <mergeCell ref="M7:M16"/>
    <mergeCell ref="B13:K13"/>
    <mergeCell ref="C14:K14"/>
    <mergeCell ref="C15:K15"/>
    <mergeCell ref="C16:K16"/>
    <mergeCell ref="B1:K1"/>
    <mergeCell ref="C3:D3"/>
    <mergeCell ref="C4:D4"/>
    <mergeCell ref="J6:K6"/>
    <mergeCell ref="J9:K10"/>
    <mergeCell ref="B6:I6"/>
  </mergeCells>
  <dataValidations count="4">
    <dataValidation type="whole" operator="greaterThanOrEqual" allowBlank="1" showErrorMessage="1" errorTitle="Fehler" error="Gültig sind nur positive, ganze Zahlen (0, 200, etc.). Kein Text" promptTitle="Ganze Zahlen" prompt="Nur ganzzahlige Werte (0, 1, 200 etc.)" sqref="D8:I8" xr:uid="{00000000-0002-0000-0D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D00-000001000000}">
      <formula1>44927</formula1>
      <formula2>45291</formula2>
    </dataValidation>
    <dataValidation allowBlank="1" sqref="C9:I10" xr:uid="{00000000-0002-0000-0D00-000002000000}"/>
    <dataValidation operator="greaterThanOrEqual" allowBlank="1" sqref="J7:L7" xr:uid="{00000000-0002-0000-0D00-000003000000}"/>
  </dataValidations>
  <pageMargins left="0.70866141732283472" right="0.70866141732283472" top="1.1811023622047245" bottom="0.78740157480314965" header="0.31496062992125984" footer="0.31496062992125984"/>
  <pageSetup paperSize="8" scale="69" fitToHeight="0" orientation="landscape" cellComments="atEnd" r:id="rId2"/>
  <headerFooter>
    <oddHeader>&amp;LKennzahlenraster KIP / IAS&amp;R&amp;G</oddHeader>
    <oddFooter>&amp;L&amp;A: Förderung Ausbildungsfähigkeit (16-25-Jährige)&amp;R&amp;P</oddFooter>
  </headerFooter>
  <legacyDrawingHF r:id="rId3"/>
  <extLst>
    <ext xmlns:x14="http://schemas.microsoft.com/office/spreadsheetml/2009/9/main" uri="{CCE6A557-97BC-4b89-ADB6-D9C93CAAB3DF}">
      <x14:dataValidations xmlns:xm="http://schemas.microsoft.com/office/excel/2006/main" count="2">
        <x14:dataValidation type="list" operator="greaterThanOrEqual" xr:uid="{00000000-0002-0000-0D00-000004000000}">
          <x14:formula1>
            <xm:f>Dropdownlisten!$C$4:$C$6</xm:f>
          </x14:formula1>
          <xm:sqref>J8</xm:sqref>
        </x14:dataValidation>
        <x14:dataValidation type="list" operator="greaterThanOrEqual" xr:uid="{00000000-0002-0000-0D00-000005000000}">
          <x14:formula1>
            <xm:f>Dropdownlisten!$E$4:$E$6</xm:f>
          </x14:formula1>
          <xm:sqref>K8:L8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tabColor theme="3" tint="0.59999389629810485"/>
    <pageSetUpPr fitToPage="1"/>
  </sheetPr>
  <dimension ref="B1:M38"/>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45" t="s">
        <v>168</v>
      </c>
      <c r="C1" s="445"/>
      <c r="D1" s="445"/>
      <c r="E1" s="445"/>
      <c r="F1" s="445"/>
      <c r="G1" s="445"/>
      <c r="H1" s="445"/>
      <c r="I1" s="445"/>
      <c r="J1" s="445"/>
      <c r="K1" s="445"/>
    </row>
    <row r="2" spans="2:13" s="1" customFormat="1" x14ac:dyDescent="0.3">
      <c r="B2" s="16"/>
      <c r="C2" s="16"/>
      <c r="D2" s="16"/>
      <c r="E2" s="16"/>
      <c r="F2" s="16"/>
      <c r="G2" s="16"/>
    </row>
    <row r="3" spans="2:13" s="1" customFormat="1" ht="28.5" customHeight="1" x14ac:dyDescent="0.3">
      <c r="B3" s="98" t="s">
        <v>40</v>
      </c>
      <c r="C3" s="447" t="str">
        <f>Inhaltsverzeichnis!D4</f>
        <v>CH</v>
      </c>
      <c r="D3" s="447"/>
      <c r="E3" s="96"/>
      <c r="F3" s="96"/>
    </row>
    <row r="4" spans="2:13" s="1" customFormat="1" ht="28.5" customHeight="1" x14ac:dyDescent="0.3">
      <c r="B4" s="98" t="s">
        <v>99</v>
      </c>
      <c r="C4" s="446"/>
      <c r="D4" s="446"/>
      <c r="E4" s="96"/>
      <c r="F4" s="96"/>
      <c r="H4" s="97"/>
    </row>
    <row r="5" spans="2:13" ht="14.15" customHeight="1" thickBot="1" x14ac:dyDescent="0.35"/>
    <row r="6" spans="2:13" ht="45" customHeight="1" thickBot="1" x14ac:dyDescent="0.35">
      <c r="B6" s="448"/>
      <c r="C6" s="449"/>
      <c r="D6" s="449"/>
      <c r="E6" s="449"/>
      <c r="F6" s="449"/>
      <c r="G6" s="449"/>
      <c r="H6" s="449"/>
      <c r="I6" s="450"/>
      <c r="J6" s="432" t="s">
        <v>107</v>
      </c>
      <c r="K6" s="433"/>
      <c r="M6" s="71" t="s">
        <v>13</v>
      </c>
    </row>
    <row r="7" spans="2:13" s="16" customFormat="1" ht="45" customHeight="1" thickBot="1" x14ac:dyDescent="0.35">
      <c r="B7" s="174" t="s">
        <v>116</v>
      </c>
      <c r="C7" s="170" t="s">
        <v>1</v>
      </c>
      <c r="D7" s="171" t="s">
        <v>46</v>
      </c>
      <c r="E7" s="171" t="s">
        <v>42</v>
      </c>
      <c r="F7" s="171" t="s">
        <v>181</v>
      </c>
      <c r="G7" s="171" t="s">
        <v>43</v>
      </c>
      <c r="H7" s="172" t="s">
        <v>47</v>
      </c>
      <c r="I7" s="173" t="s">
        <v>48</v>
      </c>
      <c r="J7" s="344" t="s">
        <v>157</v>
      </c>
      <c r="K7" s="344" t="s">
        <v>106</v>
      </c>
      <c r="L7" s="13"/>
      <c r="M7" s="451"/>
    </row>
    <row r="8" spans="2:13" ht="61" customHeight="1" thickBot="1" x14ac:dyDescent="0.35">
      <c r="B8" s="329" t="s">
        <v>210</v>
      </c>
      <c r="C8" s="125">
        <f>SUM(D8:E8, G8)</f>
        <v>0</v>
      </c>
      <c r="D8" s="134"/>
      <c r="E8" s="126"/>
      <c r="F8" s="126"/>
      <c r="G8" s="126"/>
      <c r="H8" s="126"/>
      <c r="I8" s="127"/>
      <c r="J8" s="141" t="s">
        <v>121</v>
      </c>
      <c r="K8" s="140" t="s">
        <v>121</v>
      </c>
      <c r="M8" s="452"/>
    </row>
    <row r="9" spans="2:13" ht="43.5" customHeight="1" x14ac:dyDescent="0.3">
      <c r="B9" s="267" t="s">
        <v>241</v>
      </c>
      <c r="C9" s="259">
        <f>SUM(D9:E9, G9)</f>
        <v>11007</v>
      </c>
      <c r="D9" s="268">
        <f>VLOOKUP($C$3,bestand_ias,28,FALSE)</f>
        <v>7842</v>
      </c>
      <c r="E9" s="261">
        <f>VLOOKUP($C$3,bestand_ias,29,FALSE)</f>
        <v>3165</v>
      </c>
      <c r="F9" s="261">
        <f>VLOOKUP($C$3,bestand_ias,30,FALSE)</f>
        <v>27016</v>
      </c>
      <c r="G9" s="261" t="s">
        <v>124</v>
      </c>
      <c r="H9" s="260">
        <f>VLOOKUP($C$3,bestand_ias,31,FALSE)</f>
        <v>5361</v>
      </c>
      <c r="I9" s="269">
        <f>VLOOKUP($C$3,bestand_ias,32,FALSE)</f>
        <v>5646</v>
      </c>
      <c r="J9" s="526"/>
      <c r="K9" s="527"/>
      <c r="M9" s="452"/>
    </row>
    <row r="10" spans="2:13" ht="43.5" customHeight="1" thickBot="1" x14ac:dyDescent="0.35">
      <c r="B10" s="330" t="s">
        <v>242</v>
      </c>
      <c r="C10" s="248">
        <f>SUM(D10:E10, G10)</f>
        <v>15860</v>
      </c>
      <c r="D10" s="256">
        <f>VLOOKUP($C$3,bestand_alle,23,FALSE)</f>
        <v>11404</v>
      </c>
      <c r="E10" s="250">
        <f>VLOOKUP($C$3,bestand_alle,24,FALSE)</f>
        <v>4456</v>
      </c>
      <c r="F10" s="250">
        <f>VLOOKUP($C$3,bestand_alle,25,FALSE)</f>
        <v>27016</v>
      </c>
      <c r="G10" s="250" t="s">
        <v>124</v>
      </c>
      <c r="H10" s="249">
        <f>VLOOKUP($C$3,bestand_alle,26,FALSE)</f>
        <v>8211</v>
      </c>
      <c r="I10" s="257">
        <f>VLOOKUP($C$3,bestand_alle,27,FALSE)</f>
        <v>7649</v>
      </c>
      <c r="J10" s="528"/>
      <c r="K10" s="529"/>
      <c r="M10" s="452"/>
    </row>
    <row r="11" spans="2:13" x14ac:dyDescent="0.3">
      <c r="B11" s="343" t="s">
        <v>247</v>
      </c>
      <c r="L11" s="14"/>
      <c r="M11" s="452"/>
    </row>
    <row r="12" spans="2:13" ht="14.5" thickBot="1" x14ac:dyDescent="0.35">
      <c r="L12" s="14"/>
      <c r="M12" s="452"/>
    </row>
    <row r="13" spans="2:13" ht="45" customHeight="1" thickBot="1" x14ac:dyDescent="0.35">
      <c r="B13" s="454" t="s">
        <v>49</v>
      </c>
      <c r="C13" s="455"/>
      <c r="D13" s="455"/>
      <c r="E13" s="455"/>
      <c r="F13" s="455"/>
      <c r="G13" s="455"/>
      <c r="H13" s="455"/>
      <c r="I13" s="455"/>
      <c r="J13" s="455"/>
      <c r="K13" s="456"/>
      <c r="L13" s="12"/>
      <c r="M13" s="452"/>
    </row>
    <row r="14" spans="2:13" ht="57" customHeight="1" thickBot="1" x14ac:dyDescent="0.35">
      <c r="B14" s="189" t="s">
        <v>50</v>
      </c>
      <c r="C14" s="494" t="s">
        <v>211</v>
      </c>
      <c r="D14" s="495"/>
      <c r="E14" s="495"/>
      <c r="F14" s="495"/>
      <c r="G14" s="495"/>
      <c r="H14" s="495"/>
      <c r="I14" s="495"/>
      <c r="J14" s="495"/>
      <c r="K14" s="496"/>
      <c r="L14" s="12"/>
      <c r="M14" s="452"/>
    </row>
    <row r="15" spans="2:13" ht="177.75" customHeight="1" thickBot="1" x14ac:dyDescent="0.35">
      <c r="B15" s="187" t="s">
        <v>29</v>
      </c>
      <c r="C15" s="494" t="s">
        <v>212</v>
      </c>
      <c r="D15" s="495"/>
      <c r="E15" s="495"/>
      <c r="F15" s="495"/>
      <c r="G15" s="495"/>
      <c r="H15" s="495"/>
      <c r="I15" s="495"/>
      <c r="J15" s="495"/>
      <c r="K15" s="496"/>
      <c r="M15" s="452"/>
    </row>
    <row r="16" spans="2:13" ht="55" customHeight="1" thickBot="1" x14ac:dyDescent="0.35">
      <c r="B16" s="188" t="s">
        <v>51</v>
      </c>
      <c r="C16" s="494" t="s">
        <v>213</v>
      </c>
      <c r="D16" s="495"/>
      <c r="E16" s="495"/>
      <c r="F16" s="495"/>
      <c r="G16" s="495"/>
      <c r="H16" s="495"/>
      <c r="I16" s="495"/>
      <c r="J16" s="495"/>
      <c r="K16" s="496"/>
      <c r="M16" s="453"/>
    </row>
    <row r="17" spans="3:11" ht="14.15" customHeight="1" x14ac:dyDescent="0.3">
      <c r="J17" s="12"/>
      <c r="K17" s="12"/>
    </row>
    <row r="18" spans="3:11" ht="14.15" customHeight="1" x14ac:dyDescent="0.3"/>
    <row r="19" spans="3:11" ht="14.15" customHeight="1" x14ac:dyDescent="0.3"/>
    <row r="20" spans="3:11" ht="14.15" customHeight="1" x14ac:dyDescent="0.3">
      <c r="C20" s="17"/>
    </row>
    <row r="21" spans="3:11" ht="14.15" customHeight="1" x14ac:dyDescent="0.3"/>
    <row r="22" spans="3:11" ht="14.15" customHeight="1" x14ac:dyDescent="0.3"/>
    <row r="23" spans="3:11" ht="14.15" customHeight="1" x14ac:dyDescent="0.3"/>
    <row r="24" spans="3:11" ht="14.15" customHeight="1" x14ac:dyDescent="0.3"/>
    <row r="25" spans="3:11" ht="14.15" customHeight="1" x14ac:dyDescent="0.3"/>
    <row r="26" spans="3:11" ht="14.15" customHeight="1" x14ac:dyDescent="0.3"/>
    <row r="27" spans="3:11" ht="14.15" customHeight="1" x14ac:dyDescent="0.3"/>
    <row r="28" spans="3:11" ht="14.15" customHeight="1" x14ac:dyDescent="0.3"/>
    <row r="29" spans="3:11" ht="14.15" customHeight="1" x14ac:dyDescent="0.3"/>
    <row r="30" spans="3:11" ht="14.15" customHeight="1" x14ac:dyDescent="0.3"/>
    <row r="31" spans="3:11" ht="14.15" customHeight="1" x14ac:dyDescent="0.3"/>
    <row r="32" spans="3:11"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sheetData>
  <sheetProtection algorithmName="SHA-512" hashValue="yE0NKwgtmNC6L3qJC0rIb7xU7vvH04rqCuOkysruqqRmxh7PcSQqE5penefXZQHiMCoc4+gEvgMSuhfuTT8rVQ==" saltValue="l1hrXjwgByCgk2nvy8h5NA==" spinCount="100000" sheet="1" selectLockedCells="1"/>
  <protectedRanges>
    <protectedRange password="CAA2" sqref="C8" name="Summe"/>
    <protectedRange password="CAA2" sqref="C9:C10" name="Summe_4"/>
  </protectedRanges>
  <customSheetViews>
    <customSheetView guid="{168849A9-FED9-4458-942F-290616B3A25C}" scale="50" showPageBreaks="1" showGridLines="0" fitToPage="1" printArea="1" topLeftCell="A13">
      <selection activeCell="L57" sqref="L57"/>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Förderung Arbeitsfähigkeit (26-55-Jährige)&amp;R&amp;P</oddFooter>
      </headerFooter>
    </customSheetView>
  </customSheetViews>
  <mergeCells count="11">
    <mergeCell ref="M7:M16"/>
    <mergeCell ref="J9:K10"/>
    <mergeCell ref="B13:K13"/>
    <mergeCell ref="C14:K14"/>
    <mergeCell ref="C15:K15"/>
    <mergeCell ref="C16:K16"/>
    <mergeCell ref="C3:D3"/>
    <mergeCell ref="C4:D4"/>
    <mergeCell ref="B6:I6"/>
    <mergeCell ref="J6:K6"/>
    <mergeCell ref="B1:K1"/>
  </mergeCells>
  <dataValidations count="4">
    <dataValidation type="whole" operator="greaterThanOrEqual" allowBlank="1" showErrorMessage="1" errorTitle="Fehler" error="Gültig sind nur positive, ganze Zahlen (0, 200, etc.). Kein Text" promptTitle="Ganze Zahlen" prompt="Nur ganzzahlige Werte (0, 1, 200 etc.)" sqref="D8:I8" xr:uid="{00000000-0002-0000-0E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E00-000001000000}">
      <formula1>44927</formula1>
      <formula2>45291</formula2>
    </dataValidation>
    <dataValidation operator="greaterThanOrEqual" allowBlank="1" sqref="J7:K7" xr:uid="{00000000-0002-0000-0E00-000002000000}"/>
    <dataValidation allowBlank="1" sqref="C9:I10" xr:uid="{00000000-0002-0000-0E00-000003000000}"/>
  </dataValidations>
  <pageMargins left="0.70866141732283472" right="0.70866141732283472" top="1.1811023622047245" bottom="0.78740157480314965" header="0.31496062992125984" footer="0.31496062992125984"/>
  <pageSetup paperSize="8" scale="69" fitToHeight="0" orientation="landscape" cellComments="atEnd" r:id="rId2"/>
  <headerFooter>
    <oddFooter>&amp;L&amp;A: Förderung Arbeitsfähigkeit (26-55-Jährige)&amp;R&amp;P</oddFooter>
  </headerFooter>
  <extLst>
    <ext xmlns:x14="http://schemas.microsoft.com/office/spreadsheetml/2009/9/main" uri="{CCE6A557-97BC-4b89-ADB6-D9C93CAAB3DF}">
      <x14:dataValidations xmlns:xm="http://schemas.microsoft.com/office/excel/2006/main" count="2">
        <x14:dataValidation type="list" operator="greaterThanOrEqual" xr:uid="{00000000-0002-0000-0E00-000004000000}">
          <x14:formula1>
            <xm:f>Dropdownlisten!$C$4:$C$6</xm:f>
          </x14:formula1>
          <xm:sqref>J8</xm:sqref>
        </x14:dataValidation>
        <x14:dataValidation type="list" operator="greaterThanOrEqual" xr:uid="{00000000-0002-0000-0E00-000005000000}">
          <x14:formula1>
            <xm:f>Dropdownlisten!$E$4:$E$6</xm:f>
          </x14:formula1>
          <xm:sqref>K8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tabColor theme="3" tint="0.59999389629810485"/>
    <pageSetUpPr fitToPage="1"/>
  </sheetPr>
  <dimension ref="B1:M29"/>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45" t="s">
        <v>169</v>
      </c>
      <c r="C1" s="445"/>
      <c r="D1" s="445"/>
      <c r="E1" s="445"/>
      <c r="F1" s="445"/>
      <c r="G1" s="445"/>
      <c r="H1" s="445"/>
      <c r="I1" s="445"/>
      <c r="J1" s="445"/>
      <c r="K1" s="445"/>
    </row>
    <row r="2" spans="2:13" s="1" customFormat="1" x14ac:dyDescent="0.3">
      <c r="B2" s="16"/>
      <c r="C2" s="16"/>
      <c r="D2" s="16"/>
      <c r="E2" s="16"/>
      <c r="F2" s="16"/>
      <c r="G2" s="16"/>
    </row>
    <row r="3" spans="2:13" s="1" customFormat="1" ht="28.5" customHeight="1" x14ac:dyDescent="0.3">
      <c r="B3" s="98" t="s">
        <v>40</v>
      </c>
      <c r="C3" s="447" t="str">
        <f>Inhaltsverzeichnis!D4</f>
        <v>CH</v>
      </c>
      <c r="D3" s="447"/>
      <c r="E3" s="96"/>
      <c r="F3" s="96"/>
    </row>
    <row r="4" spans="2:13" s="1" customFormat="1" ht="28.5" customHeight="1" x14ac:dyDescent="0.3">
      <c r="B4" s="98" t="s">
        <v>99</v>
      </c>
      <c r="C4" s="446"/>
      <c r="D4" s="446"/>
      <c r="E4" s="96"/>
      <c r="F4" s="96"/>
      <c r="H4" s="97"/>
    </row>
    <row r="5" spans="2:13" ht="14.15" customHeight="1" thickBot="1" x14ac:dyDescent="0.35"/>
    <row r="6" spans="2:13" ht="45" customHeight="1" thickBot="1" x14ac:dyDescent="0.35">
      <c r="B6" s="448"/>
      <c r="C6" s="449"/>
      <c r="D6" s="449"/>
      <c r="E6" s="449"/>
      <c r="F6" s="449"/>
      <c r="G6" s="449"/>
      <c r="H6" s="449"/>
      <c r="I6" s="450"/>
      <c r="J6" s="432" t="s">
        <v>107</v>
      </c>
      <c r="K6" s="433"/>
      <c r="M6" s="71" t="s">
        <v>13</v>
      </c>
    </row>
    <row r="7" spans="2:13" s="16" customFormat="1" ht="45" customHeight="1" thickBot="1" x14ac:dyDescent="0.35">
      <c r="B7" s="174" t="s">
        <v>116</v>
      </c>
      <c r="C7" s="170" t="s">
        <v>1</v>
      </c>
      <c r="D7" s="171" t="s">
        <v>46</v>
      </c>
      <c r="E7" s="171" t="s">
        <v>42</v>
      </c>
      <c r="F7" s="171" t="s">
        <v>181</v>
      </c>
      <c r="G7" s="171" t="s">
        <v>43</v>
      </c>
      <c r="H7" s="172" t="s">
        <v>47</v>
      </c>
      <c r="I7" s="173" t="s">
        <v>48</v>
      </c>
      <c r="J7" s="185" t="s">
        <v>157</v>
      </c>
      <c r="K7" s="185" t="s">
        <v>106</v>
      </c>
      <c r="L7" s="13"/>
      <c r="M7" s="451"/>
    </row>
    <row r="8" spans="2:13" ht="75" customHeight="1" thickBot="1" x14ac:dyDescent="0.35">
      <c r="B8" s="101" t="s">
        <v>86</v>
      </c>
      <c r="C8" s="125">
        <f>SUM(D8:E8, G8)</f>
        <v>0</v>
      </c>
      <c r="D8" s="134"/>
      <c r="E8" s="126"/>
      <c r="F8" s="126"/>
      <c r="G8" s="126"/>
      <c r="H8" s="126"/>
      <c r="I8" s="127"/>
      <c r="J8" s="141" t="s">
        <v>121</v>
      </c>
      <c r="K8" s="140" t="s">
        <v>121</v>
      </c>
      <c r="M8" s="452"/>
    </row>
    <row r="9" spans="2:13" ht="43.5" customHeight="1" x14ac:dyDescent="0.3">
      <c r="B9" s="333" t="s">
        <v>241</v>
      </c>
      <c r="C9" s="259">
        <f>SUM(D9:E9, G9)</f>
        <v>18759</v>
      </c>
      <c r="D9" s="260">
        <f>VLOOKUP($C$3,bestand_ias,33,FALSE)</f>
        <v>10682</v>
      </c>
      <c r="E9" s="261">
        <f>VLOOKUP($C$3,bestand_ias,34,FALSE)</f>
        <v>8077</v>
      </c>
      <c r="F9" s="261">
        <f>VLOOKUP($C$3,bestand_ias,35,FALSE)</f>
        <v>45186</v>
      </c>
      <c r="G9" s="261" t="s">
        <v>124</v>
      </c>
      <c r="H9" s="261">
        <f>VLOOKUP($C$3,bestand_ias,36,FALSE)</f>
        <v>7488</v>
      </c>
      <c r="I9" s="262">
        <f>VLOOKUP($C$3,bestand_ias,37,FALSE)</f>
        <v>11271</v>
      </c>
      <c r="J9" s="526"/>
      <c r="K9" s="527"/>
      <c r="M9" s="452"/>
    </row>
    <row r="10" spans="2:13" ht="43.5" customHeight="1" thickBot="1" x14ac:dyDescent="0.35">
      <c r="B10" s="334" t="s">
        <v>242</v>
      </c>
      <c r="C10" s="252">
        <f>SUM(D10:E10, G10)</f>
        <v>27615</v>
      </c>
      <c r="D10" s="253">
        <f>VLOOKUP($C$3,bestand_alle,28,FALSE)</f>
        <v>16349</v>
      </c>
      <c r="E10" s="254">
        <f>VLOOKUP($C$3,bestand_alle,29,FALSE)</f>
        <v>11266</v>
      </c>
      <c r="F10" s="254">
        <f>VLOOKUP($C$3,bestand_alle,30,FALSE)</f>
        <v>45186</v>
      </c>
      <c r="G10" s="254" t="s">
        <v>124</v>
      </c>
      <c r="H10" s="254">
        <f>VLOOKUP($C$3,bestand_alle,31,FALSE)</f>
        <v>11815</v>
      </c>
      <c r="I10" s="255">
        <f>VLOOKUP($C$3,bestand_alle,32,FALSE)</f>
        <v>15800</v>
      </c>
      <c r="J10" s="528"/>
      <c r="K10" s="529"/>
      <c r="M10" s="452"/>
    </row>
    <row r="11" spans="2:13" ht="14.15" customHeight="1" thickTop="1" x14ac:dyDescent="0.3">
      <c r="B11" s="343" t="s">
        <v>247</v>
      </c>
      <c r="C11" s="198"/>
      <c r="M11" s="452"/>
    </row>
    <row r="12" spans="2:13" ht="14.15" customHeight="1" thickBot="1" x14ac:dyDescent="0.35">
      <c r="J12" s="12"/>
      <c r="K12" s="12"/>
      <c r="M12" s="452"/>
    </row>
    <row r="13" spans="2:13" ht="45" customHeight="1" thickBot="1" x14ac:dyDescent="0.35">
      <c r="B13" s="454" t="s">
        <v>49</v>
      </c>
      <c r="C13" s="455"/>
      <c r="D13" s="455"/>
      <c r="E13" s="455"/>
      <c r="F13" s="455"/>
      <c r="G13" s="455"/>
      <c r="H13" s="455"/>
      <c r="I13" s="455"/>
      <c r="J13" s="455"/>
      <c r="K13" s="456"/>
      <c r="L13" s="14"/>
      <c r="M13" s="452"/>
    </row>
    <row r="14" spans="2:13" ht="37.5" customHeight="1" x14ac:dyDescent="0.3">
      <c r="B14" s="189" t="s">
        <v>50</v>
      </c>
      <c r="C14" s="497" t="s">
        <v>214</v>
      </c>
      <c r="D14" s="457"/>
      <c r="E14" s="457"/>
      <c r="F14" s="457"/>
      <c r="G14" s="457"/>
      <c r="H14" s="457"/>
      <c r="I14" s="457"/>
      <c r="J14" s="457"/>
      <c r="K14" s="458"/>
      <c r="L14" s="12"/>
      <c r="M14" s="452"/>
    </row>
    <row r="15" spans="2:13" ht="58" customHeight="1" x14ac:dyDescent="0.3">
      <c r="B15" s="187" t="s">
        <v>29</v>
      </c>
      <c r="C15" s="498" t="s">
        <v>171</v>
      </c>
      <c r="D15" s="459"/>
      <c r="E15" s="459"/>
      <c r="F15" s="459"/>
      <c r="G15" s="459"/>
      <c r="H15" s="459"/>
      <c r="I15" s="459"/>
      <c r="J15" s="459"/>
      <c r="K15" s="460"/>
      <c r="L15" s="12"/>
      <c r="M15" s="452"/>
    </row>
    <row r="16" spans="2:13" ht="50.15" customHeight="1" thickBot="1" x14ac:dyDescent="0.35">
      <c r="B16" s="188" t="s">
        <v>51</v>
      </c>
      <c r="C16" s="499" t="s">
        <v>215</v>
      </c>
      <c r="D16" s="461"/>
      <c r="E16" s="461"/>
      <c r="F16" s="461"/>
      <c r="G16" s="461"/>
      <c r="H16" s="461"/>
      <c r="I16" s="461"/>
      <c r="J16" s="461"/>
      <c r="K16" s="462"/>
      <c r="L16" s="12"/>
      <c r="M16" s="453"/>
    </row>
    <row r="17" spans="3:3" ht="14.15" customHeight="1" x14ac:dyDescent="0.3"/>
    <row r="18" spans="3:3" ht="14.15" customHeight="1" x14ac:dyDescent="0.3"/>
    <row r="19" spans="3:3" ht="14.15" customHeight="1" x14ac:dyDescent="0.3"/>
    <row r="20" spans="3:3" ht="14.15" customHeight="1" x14ac:dyDescent="0.3">
      <c r="C20" s="17"/>
    </row>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sheetData>
  <sheetProtection algorithmName="SHA-512" hashValue="NjVOpvW17dgrvZsvojU3ZZWhrWicZX4S+HFu7uaUF7EPsgsYNMZSWKQ0P7rKB8Zi7NkHFhvyZvmVyrYpRV6mjQ==" saltValue="pr3YceSNLWiJlK5zGKbSpw==" spinCount="100000" sheet="1" selectLockedCells="1"/>
  <protectedRanges>
    <protectedRange password="CAA2" sqref="C8:C10" name="Summe"/>
  </protectedRanges>
  <customSheetViews>
    <customSheetView guid="{168849A9-FED9-4458-942F-290616B3A25C}" scale="50" showGridLines="0" fitToPage="1">
      <selection activeCell="C15" sqref="C15:J15"/>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 Zusammenleben&amp;R&amp;P</oddFooter>
      </headerFooter>
    </customSheetView>
  </customSheetViews>
  <mergeCells count="11">
    <mergeCell ref="J9:K10"/>
    <mergeCell ref="M7:M16"/>
    <mergeCell ref="B13:K13"/>
    <mergeCell ref="C14:K14"/>
    <mergeCell ref="C15:K15"/>
    <mergeCell ref="C16:K16"/>
    <mergeCell ref="C3:D3"/>
    <mergeCell ref="C4:D4"/>
    <mergeCell ref="J6:K6"/>
    <mergeCell ref="B6:I6"/>
    <mergeCell ref="B1:K1"/>
  </mergeCells>
  <dataValidations count="4">
    <dataValidation type="whole" operator="greaterThanOrEqual" allowBlank="1" showErrorMessage="1" errorTitle="Fehler" error="Gültig sind nur positive, ganze Zahlen (0, 200, etc.). Kein Text" promptTitle="Ganze Zahlen" prompt="Nur ganzzahlige Werte (0, 1, 200 etc.)" sqref="D8:I8" xr:uid="{00000000-0002-0000-0F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F00-000001000000}">
      <formula1>44927</formula1>
      <formula2>45291</formula2>
    </dataValidation>
    <dataValidation operator="greaterThanOrEqual" allowBlank="1" sqref="J7:K7" xr:uid="{00000000-0002-0000-0F00-000002000000}"/>
    <dataValidation allowBlank="1" sqref="C9:I10" xr:uid="{00000000-0002-0000-0F00-000003000000}"/>
  </dataValidations>
  <pageMargins left="0.70866141732283472" right="0.70866141732283472" top="1.1811023622047245" bottom="0.78740157480314965" header="0.31496062992125984" footer="0.31496062992125984"/>
  <pageSetup paperSize="8" scale="75" fitToHeight="0" orientation="landscape" cellComments="atEnd" r:id="rId2"/>
  <headerFooter>
    <oddFooter>&amp;L&amp;A: Zusammenleben&amp;R&amp;P</oddFooter>
  </headerFooter>
  <extLst>
    <ext xmlns:x14="http://schemas.microsoft.com/office/spreadsheetml/2009/9/main" uri="{CCE6A557-97BC-4b89-ADB6-D9C93CAAB3DF}">
      <x14:dataValidations xmlns:xm="http://schemas.microsoft.com/office/excel/2006/main" count="2">
        <x14:dataValidation type="list" operator="greaterThanOrEqual" xr:uid="{00000000-0002-0000-0F00-000004000000}">
          <x14:formula1>
            <xm:f>Dropdownlisten!$C$4:$C$6</xm:f>
          </x14:formula1>
          <xm:sqref>J8</xm:sqref>
        </x14:dataValidation>
        <x14:dataValidation type="list" operator="greaterThanOrEqual" xr:uid="{00000000-0002-0000-0F00-000005000000}">
          <x14:formula1>
            <xm:f>Dropdownlisten!$E$4:$E$6</xm:f>
          </x14:formula1>
          <xm:sqref>K8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0">
    <tabColor theme="7" tint="0.59999389629810485"/>
  </sheetPr>
  <dimension ref="A1:AK66"/>
  <sheetViews>
    <sheetView showGridLines="0" zoomScaleNormal="100" workbookViewId="0">
      <selection activeCell="G11" sqref="G11"/>
    </sheetView>
  </sheetViews>
  <sheetFormatPr baseColWidth="10" defaultRowHeight="14" x14ac:dyDescent="0.3"/>
  <cols>
    <col min="3" max="14" width="13.08203125" customWidth="1"/>
    <col min="15" max="15" width="13.08203125" hidden="1" customWidth="1"/>
    <col min="16" max="37" width="13.08203125" customWidth="1"/>
  </cols>
  <sheetData>
    <row r="1" spans="1:37" ht="30" x14ac:dyDescent="0.3">
      <c r="A1" s="539" t="s">
        <v>155</v>
      </c>
      <c r="B1" s="539"/>
      <c r="C1" s="539"/>
      <c r="D1" s="539"/>
      <c r="E1" s="539"/>
      <c r="F1" s="539"/>
      <c r="G1" s="539"/>
      <c r="H1" s="539"/>
      <c r="I1" s="539"/>
      <c r="J1" s="539"/>
      <c r="K1" s="539"/>
      <c r="L1" s="539"/>
      <c r="M1" s="539"/>
      <c r="N1" s="539"/>
      <c r="O1" s="539"/>
      <c r="P1" s="539"/>
      <c r="Q1" s="539"/>
    </row>
    <row r="3" spans="1:37" ht="20.149999999999999" customHeight="1" x14ac:dyDescent="0.3">
      <c r="A3" s="536" t="s">
        <v>216</v>
      </c>
      <c r="B3" s="537"/>
      <c r="C3" s="537"/>
      <c r="D3" s="537"/>
      <c r="E3" s="537"/>
      <c r="F3" s="537"/>
      <c r="G3" s="537"/>
      <c r="H3" s="537"/>
      <c r="I3" s="537"/>
      <c r="J3" s="537"/>
      <c r="K3" s="537"/>
      <c r="L3" s="537"/>
      <c r="M3" s="537"/>
      <c r="N3" s="537"/>
      <c r="O3" s="537"/>
      <c r="P3" s="537"/>
      <c r="Q3" s="538"/>
    </row>
    <row r="4" spans="1:37" ht="14.5" thickBot="1" x14ac:dyDescent="0.35">
      <c r="A4" s="149"/>
      <c r="B4" s="149"/>
    </row>
    <row r="5" spans="1:37" s="1" customFormat="1" ht="14.5" thickBot="1" x14ac:dyDescent="0.35">
      <c r="A5" s="540" t="s">
        <v>0</v>
      </c>
      <c r="B5" s="543" t="s">
        <v>61</v>
      </c>
      <c r="C5" s="533" t="s">
        <v>115</v>
      </c>
      <c r="D5" s="534"/>
      <c r="E5" s="534"/>
      <c r="F5" s="534"/>
      <c r="G5" s="535"/>
      <c r="H5" s="533" t="s">
        <v>114</v>
      </c>
      <c r="I5" s="534"/>
      <c r="J5" s="534"/>
      <c r="K5" s="534"/>
      <c r="L5" s="535"/>
      <c r="M5" s="533" t="s">
        <v>110</v>
      </c>
      <c r="N5" s="534"/>
      <c r="O5" s="534"/>
      <c r="P5" s="534"/>
      <c r="Q5" s="535"/>
      <c r="R5" s="533" t="s">
        <v>119</v>
      </c>
      <c r="S5" s="534"/>
      <c r="T5" s="534"/>
      <c r="U5" s="534"/>
      <c r="V5" s="535"/>
      <c r="W5" s="533" t="s">
        <v>111</v>
      </c>
      <c r="X5" s="534"/>
      <c r="Y5" s="534"/>
      <c r="Z5" s="534"/>
      <c r="AA5" s="535"/>
      <c r="AB5" s="533" t="s">
        <v>112</v>
      </c>
      <c r="AC5" s="534"/>
      <c r="AD5" s="534"/>
      <c r="AE5" s="534"/>
      <c r="AF5" s="535"/>
      <c r="AG5" s="533" t="s">
        <v>113</v>
      </c>
      <c r="AH5" s="534"/>
      <c r="AI5" s="534"/>
      <c r="AJ5" s="534"/>
      <c r="AK5" s="535"/>
    </row>
    <row r="6" spans="1:37" s="1" customFormat="1" ht="59.15" customHeight="1" x14ac:dyDescent="0.3">
      <c r="A6" s="541"/>
      <c r="B6" s="544"/>
      <c r="C6" s="530" t="s">
        <v>217</v>
      </c>
      <c r="D6" s="531"/>
      <c r="E6" s="531"/>
      <c r="F6" s="531"/>
      <c r="G6" s="532"/>
      <c r="H6" s="530" t="s">
        <v>218</v>
      </c>
      <c r="I6" s="531"/>
      <c r="J6" s="531"/>
      <c r="K6" s="531"/>
      <c r="L6" s="532"/>
      <c r="M6" s="530" t="s">
        <v>219</v>
      </c>
      <c r="N6" s="531"/>
      <c r="O6" s="531"/>
      <c r="P6" s="531"/>
      <c r="Q6" s="532"/>
      <c r="R6" s="530" t="s">
        <v>220</v>
      </c>
      <c r="S6" s="531"/>
      <c r="T6" s="531"/>
      <c r="U6" s="531"/>
      <c r="V6" s="532"/>
      <c r="W6" s="530" t="s">
        <v>221</v>
      </c>
      <c r="X6" s="531"/>
      <c r="Y6" s="531"/>
      <c r="Z6" s="531"/>
      <c r="AA6" s="532"/>
      <c r="AB6" s="530" t="s">
        <v>222</v>
      </c>
      <c r="AC6" s="531"/>
      <c r="AD6" s="531"/>
      <c r="AE6" s="531"/>
      <c r="AF6" s="532"/>
      <c r="AG6" s="530" t="s">
        <v>223</v>
      </c>
      <c r="AH6" s="531"/>
      <c r="AI6" s="531"/>
      <c r="AJ6" s="531"/>
      <c r="AK6" s="532"/>
    </row>
    <row r="7" spans="1:37" s="1" customFormat="1" ht="14.15" customHeight="1" thickBot="1" x14ac:dyDescent="0.35">
      <c r="A7" s="542"/>
      <c r="B7" s="545"/>
      <c r="C7" s="335" t="s">
        <v>122</v>
      </c>
      <c r="D7" s="336" t="s">
        <v>59</v>
      </c>
      <c r="E7" s="336" t="s">
        <v>182</v>
      </c>
      <c r="F7" s="336" t="s">
        <v>47</v>
      </c>
      <c r="G7" s="337" t="s">
        <v>48</v>
      </c>
      <c r="H7" s="335" t="s">
        <v>122</v>
      </c>
      <c r="I7" s="336" t="s">
        <v>59</v>
      </c>
      <c r="J7" s="336" t="s">
        <v>182</v>
      </c>
      <c r="K7" s="336" t="s">
        <v>47</v>
      </c>
      <c r="L7" s="337" t="s">
        <v>48</v>
      </c>
      <c r="M7" s="335" t="s">
        <v>122</v>
      </c>
      <c r="N7" s="336" t="s">
        <v>59</v>
      </c>
      <c r="O7" s="336" t="s">
        <v>182</v>
      </c>
      <c r="P7" s="336" t="s">
        <v>47</v>
      </c>
      <c r="Q7" s="337" t="s">
        <v>48</v>
      </c>
      <c r="R7" s="335" t="s">
        <v>122</v>
      </c>
      <c r="S7" s="336" t="s">
        <v>59</v>
      </c>
      <c r="T7" s="336" t="s">
        <v>182</v>
      </c>
      <c r="U7" s="336" t="s">
        <v>47</v>
      </c>
      <c r="V7" s="337" t="s">
        <v>48</v>
      </c>
      <c r="W7" s="335" t="s">
        <v>122</v>
      </c>
      <c r="X7" s="336" t="s">
        <v>59</v>
      </c>
      <c r="Y7" s="336" t="s">
        <v>182</v>
      </c>
      <c r="Z7" s="336" t="s">
        <v>47</v>
      </c>
      <c r="AA7" s="337" t="s">
        <v>48</v>
      </c>
      <c r="AB7" s="335" t="s">
        <v>122</v>
      </c>
      <c r="AC7" s="336" t="s">
        <v>59</v>
      </c>
      <c r="AD7" s="336" t="s">
        <v>182</v>
      </c>
      <c r="AE7" s="336" t="s">
        <v>47</v>
      </c>
      <c r="AF7" s="337" t="s">
        <v>48</v>
      </c>
      <c r="AG7" s="335" t="s">
        <v>122</v>
      </c>
      <c r="AH7" s="336" t="s">
        <v>59</v>
      </c>
      <c r="AI7" s="336" t="s">
        <v>182</v>
      </c>
      <c r="AJ7" s="336" t="s">
        <v>47</v>
      </c>
      <c r="AK7" s="337" t="s">
        <v>48</v>
      </c>
    </row>
    <row r="8" spans="1:37" ht="14.15" customHeight="1" x14ac:dyDescent="0.3">
      <c r="A8" s="205" t="s">
        <v>125</v>
      </c>
      <c r="B8" s="206">
        <v>44926</v>
      </c>
      <c r="C8" s="203">
        <v>2346</v>
      </c>
      <c r="D8" s="204">
        <v>2560</v>
      </c>
      <c r="E8" s="204">
        <v>44464</v>
      </c>
      <c r="F8" s="204">
        <v>1594</v>
      </c>
      <c r="G8" s="204">
        <v>3312</v>
      </c>
      <c r="H8" s="203">
        <v>9928</v>
      </c>
      <c r="I8" s="203">
        <v>7256</v>
      </c>
      <c r="J8" s="204">
        <v>44461</v>
      </c>
      <c r="K8" s="204">
        <v>6969</v>
      </c>
      <c r="L8" s="204">
        <v>10215</v>
      </c>
      <c r="M8" s="204">
        <v>1990</v>
      </c>
      <c r="N8" s="204">
        <v>959</v>
      </c>
      <c r="O8" s="203"/>
      <c r="P8" s="203">
        <v>1438</v>
      </c>
      <c r="Q8" s="203">
        <v>1511</v>
      </c>
      <c r="R8" s="203">
        <f>SUM(R9:R34)</f>
        <v>5579</v>
      </c>
      <c r="S8" s="203">
        <v>1555</v>
      </c>
      <c r="T8" s="203">
        <v>3054</v>
      </c>
      <c r="U8" s="203">
        <f>SUM(U9:U34)</f>
        <v>3506</v>
      </c>
      <c r="V8" s="203">
        <f>SUM(V9:V34)</f>
        <v>3628</v>
      </c>
      <c r="W8" s="203">
        <v>1804</v>
      </c>
      <c r="X8" s="203">
        <v>3759</v>
      </c>
      <c r="Y8" s="203">
        <v>7019</v>
      </c>
      <c r="Z8" s="203">
        <v>1307</v>
      </c>
      <c r="AA8" s="203">
        <v>4256</v>
      </c>
      <c r="AB8" s="203">
        <v>7842</v>
      </c>
      <c r="AC8" s="203">
        <v>3165</v>
      </c>
      <c r="AD8" s="203">
        <v>27016</v>
      </c>
      <c r="AE8" s="203">
        <v>5361</v>
      </c>
      <c r="AF8" s="203">
        <v>5646</v>
      </c>
      <c r="AG8" s="203">
        <v>10682</v>
      </c>
      <c r="AH8" s="203">
        <v>8077</v>
      </c>
      <c r="AI8" s="203">
        <v>45186</v>
      </c>
      <c r="AJ8" s="203">
        <v>7488</v>
      </c>
      <c r="AK8" s="203">
        <v>11271</v>
      </c>
    </row>
    <row r="9" spans="1:37" ht="14.15" customHeight="1" x14ac:dyDescent="0.3">
      <c r="A9" s="200" t="s">
        <v>62</v>
      </c>
      <c r="B9" s="299">
        <v>44926</v>
      </c>
      <c r="C9" s="142">
        <v>194</v>
      </c>
      <c r="D9" s="143">
        <v>235</v>
      </c>
      <c r="E9" s="143">
        <v>3340</v>
      </c>
      <c r="F9" s="143">
        <v>117</v>
      </c>
      <c r="G9" s="144">
        <v>312</v>
      </c>
      <c r="H9" s="300">
        <v>977</v>
      </c>
      <c r="I9" s="302">
        <v>621</v>
      </c>
      <c r="J9" s="302">
        <v>3340</v>
      </c>
      <c r="K9" s="143">
        <v>600</v>
      </c>
      <c r="L9" s="144">
        <v>998</v>
      </c>
      <c r="M9" s="142">
        <v>202</v>
      </c>
      <c r="N9" s="143">
        <v>69</v>
      </c>
      <c r="O9" s="143"/>
      <c r="P9" s="143">
        <v>124</v>
      </c>
      <c r="Q9" s="143">
        <v>147</v>
      </c>
      <c r="R9" s="300">
        <v>433</v>
      </c>
      <c r="S9" s="302">
        <v>74</v>
      </c>
      <c r="T9" s="143">
        <v>222</v>
      </c>
      <c r="U9" s="302">
        <v>276</v>
      </c>
      <c r="V9" s="303">
        <v>231</v>
      </c>
      <c r="W9" s="142">
        <v>178</v>
      </c>
      <c r="X9" s="143">
        <v>356</v>
      </c>
      <c r="Y9" s="143">
        <v>513</v>
      </c>
      <c r="Z9" s="143">
        <v>117</v>
      </c>
      <c r="AA9" s="144">
        <v>417</v>
      </c>
      <c r="AB9" s="300">
        <v>763</v>
      </c>
      <c r="AC9" s="302">
        <v>238</v>
      </c>
      <c r="AD9" s="143">
        <v>2089</v>
      </c>
      <c r="AE9" s="302">
        <v>461</v>
      </c>
      <c r="AF9" s="303">
        <v>540</v>
      </c>
      <c r="AG9" s="300">
        <v>1065</v>
      </c>
      <c r="AH9" s="302">
        <v>709</v>
      </c>
      <c r="AI9" s="302">
        <v>3392</v>
      </c>
      <c r="AJ9" s="302">
        <v>663</v>
      </c>
      <c r="AK9" s="303">
        <v>1111</v>
      </c>
    </row>
    <row r="10" spans="1:37" ht="14.15" customHeight="1" x14ac:dyDescent="0.3">
      <c r="A10" s="148" t="s">
        <v>60</v>
      </c>
      <c r="B10" s="299">
        <v>44926</v>
      </c>
      <c r="C10" s="145">
        <v>9</v>
      </c>
      <c r="D10" s="143">
        <v>7</v>
      </c>
      <c r="E10" s="143">
        <v>86</v>
      </c>
      <c r="F10" s="143">
        <v>5</v>
      </c>
      <c r="G10" s="144">
        <v>11</v>
      </c>
      <c r="H10" s="301">
        <v>35</v>
      </c>
      <c r="I10" s="302">
        <v>20</v>
      </c>
      <c r="J10" s="302">
        <v>86</v>
      </c>
      <c r="K10" s="143">
        <v>18</v>
      </c>
      <c r="L10" s="144">
        <v>37</v>
      </c>
      <c r="M10" s="145">
        <v>3</v>
      </c>
      <c r="N10" s="146">
        <v>5</v>
      </c>
      <c r="O10" s="143"/>
      <c r="P10" s="143">
        <v>4</v>
      </c>
      <c r="Q10" s="143">
        <v>4</v>
      </c>
      <c r="R10" s="301">
        <v>10</v>
      </c>
      <c r="S10" s="304">
        <v>1</v>
      </c>
      <c r="T10" s="143">
        <v>7</v>
      </c>
      <c r="U10" s="302">
        <v>7</v>
      </c>
      <c r="V10" s="303">
        <v>4</v>
      </c>
      <c r="W10" s="145">
        <v>8</v>
      </c>
      <c r="X10" s="146">
        <v>10</v>
      </c>
      <c r="Y10" s="143">
        <v>20</v>
      </c>
      <c r="Z10" s="143">
        <v>4</v>
      </c>
      <c r="AA10" s="144">
        <v>14</v>
      </c>
      <c r="AB10" s="301">
        <v>27</v>
      </c>
      <c r="AC10" s="304">
        <v>10</v>
      </c>
      <c r="AD10" s="146">
        <v>53</v>
      </c>
      <c r="AE10" s="302">
        <v>14</v>
      </c>
      <c r="AF10" s="303">
        <v>23</v>
      </c>
      <c r="AG10" s="301">
        <v>37</v>
      </c>
      <c r="AH10" s="304">
        <v>20</v>
      </c>
      <c r="AI10" s="302">
        <v>87</v>
      </c>
      <c r="AJ10" s="302">
        <v>19</v>
      </c>
      <c r="AK10" s="303">
        <v>38</v>
      </c>
    </row>
    <row r="11" spans="1:37" ht="14.15" customHeight="1" x14ac:dyDescent="0.3">
      <c r="A11" s="148" t="s">
        <v>58</v>
      </c>
      <c r="B11" s="299">
        <v>44926</v>
      </c>
      <c r="C11" s="145">
        <v>21</v>
      </c>
      <c r="D11" s="143">
        <v>18</v>
      </c>
      <c r="E11" s="143">
        <v>304</v>
      </c>
      <c r="F11" s="143">
        <v>15</v>
      </c>
      <c r="G11" s="144">
        <v>24</v>
      </c>
      <c r="H11" s="301">
        <v>89</v>
      </c>
      <c r="I11" s="302">
        <v>61</v>
      </c>
      <c r="J11" s="302">
        <v>304</v>
      </c>
      <c r="K11" s="143">
        <v>59</v>
      </c>
      <c r="L11" s="144">
        <v>91</v>
      </c>
      <c r="M11" s="145">
        <v>13</v>
      </c>
      <c r="N11" s="146">
        <v>8</v>
      </c>
      <c r="O11" s="143"/>
      <c r="P11" s="143">
        <v>10</v>
      </c>
      <c r="Q11" s="143">
        <v>11</v>
      </c>
      <c r="R11" s="301">
        <v>49</v>
      </c>
      <c r="S11" s="304">
        <v>10</v>
      </c>
      <c r="T11" s="143">
        <v>28</v>
      </c>
      <c r="U11" s="302">
        <v>33</v>
      </c>
      <c r="V11" s="303">
        <v>26</v>
      </c>
      <c r="W11" s="145">
        <v>15</v>
      </c>
      <c r="X11" s="146">
        <v>30</v>
      </c>
      <c r="Y11" s="143">
        <v>50</v>
      </c>
      <c r="Z11" s="143">
        <v>11</v>
      </c>
      <c r="AA11" s="144">
        <v>34</v>
      </c>
      <c r="AB11" s="301">
        <v>72</v>
      </c>
      <c r="AC11" s="304">
        <v>27</v>
      </c>
      <c r="AD11" s="146">
        <v>182</v>
      </c>
      <c r="AE11" s="302">
        <v>46</v>
      </c>
      <c r="AF11" s="303">
        <v>53</v>
      </c>
      <c r="AG11" s="301">
        <v>97</v>
      </c>
      <c r="AH11" s="304">
        <v>66</v>
      </c>
      <c r="AI11" s="302">
        <v>311</v>
      </c>
      <c r="AJ11" s="302">
        <v>61</v>
      </c>
      <c r="AK11" s="303">
        <v>102</v>
      </c>
    </row>
    <row r="12" spans="1:37" ht="14.15" customHeight="1" x14ac:dyDescent="0.3">
      <c r="A12" s="148" t="s">
        <v>63</v>
      </c>
      <c r="B12" s="299">
        <v>44926</v>
      </c>
      <c r="C12" s="145">
        <v>277</v>
      </c>
      <c r="D12" s="143">
        <v>333</v>
      </c>
      <c r="E12" s="143">
        <v>5084</v>
      </c>
      <c r="F12" s="143">
        <v>203</v>
      </c>
      <c r="G12" s="144">
        <v>407</v>
      </c>
      <c r="H12" s="301">
        <v>1295</v>
      </c>
      <c r="I12" s="302">
        <v>978</v>
      </c>
      <c r="J12" s="302">
        <v>5083</v>
      </c>
      <c r="K12" s="143">
        <v>931</v>
      </c>
      <c r="L12" s="144">
        <v>1342</v>
      </c>
      <c r="M12" s="145">
        <v>252</v>
      </c>
      <c r="N12" s="146">
        <v>128</v>
      </c>
      <c r="O12" s="143"/>
      <c r="P12" s="143">
        <v>190</v>
      </c>
      <c r="Q12" s="143">
        <v>190</v>
      </c>
      <c r="R12" s="301">
        <v>802</v>
      </c>
      <c r="S12" s="304">
        <v>254</v>
      </c>
      <c r="T12" s="143">
        <v>360</v>
      </c>
      <c r="U12" s="302">
        <v>515</v>
      </c>
      <c r="V12" s="303">
        <v>541</v>
      </c>
      <c r="W12" s="145">
        <v>188</v>
      </c>
      <c r="X12" s="146">
        <v>474</v>
      </c>
      <c r="Y12" s="143">
        <v>815</v>
      </c>
      <c r="Z12" s="143">
        <v>150</v>
      </c>
      <c r="AA12" s="144">
        <v>512</v>
      </c>
      <c r="AB12" s="301">
        <v>1065</v>
      </c>
      <c r="AC12" s="304">
        <v>465</v>
      </c>
      <c r="AD12" s="146">
        <v>3098</v>
      </c>
      <c r="AE12" s="302">
        <v>736</v>
      </c>
      <c r="AF12" s="303">
        <v>794</v>
      </c>
      <c r="AG12" s="301">
        <v>1400</v>
      </c>
      <c r="AH12" s="304">
        <v>1086</v>
      </c>
      <c r="AI12" s="302">
        <v>5191</v>
      </c>
      <c r="AJ12" s="302">
        <v>1013</v>
      </c>
      <c r="AK12" s="303">
        <v>1473</v>
      </c>
    </row>
    <row r="13" spans="1:37" ht="14.15" customHeight="1" x14ac:dyDescent="0.3">
      <c r="A13" s="148" t="s">
        <v>64</v>
      </c>
      <c r="B13" s="299">
        <v>44926</v>
      </c>
      <c r="C13" s="145">
        <v>48</v>
      </c>
      <c r="D13" s="143">
        <v>89</v>
      </c>
      <c r="E13" s="143">
        <v>1474</v>
      </c>
      <c r="F13" s="143">
        <v>40</v>
      </c>
      <c r="G13" s="144">
        <v>97</v>
      </c>
      <c r="H13" s="301">
        <v>222</v>
      </c>
      <c r="I13" s="302">
        <v>187</v>
      </c>
      <c r="J13" s="302">
        <v>1474</v>
      </c>
      <c r="K13" s="143">
        <v>164</v>
      </c>
      <c r="L13" s="144">
        <v>245</v>
      </c>
      <c r="M13" s="145">
        <v>60</v>
      </c>
      <c r="N13" s="146">
        <v>32</v>
      </c>
      <c r="O13" s="143"/>
      <c r="P13" s="143">
        <v>49</v>
      </c>
      <c r="Q13" s="143">
        <v>43</v>
      </c>
      <c r="R13" s="301">
        <v>134</v>
      </c>
      <c r="S13" s="304">
        <v>40</v>
      </c>
      <c r="T13" s="143">
        <v>110</v>
      </c>
      <c r="U13" s="302">
        <v>93</v>
      </c>
      <c r="V13" s="303">
        <v>81</v>
      </c>
      <c r="W13" s="145">
        <v>49</v>
      </c>
      <c r="X13" s="146">
        <v>117</v>
      </c>
      <c r="Y13" s="143">
        <v>213</v>
      </c>
      <c r="Z13" s="143">
        <v>35</v>
      </c>
      <c r="AA13" s="144">
        <v>131</v>
      </c>
      <c r="AB13" s="301">
        <v>166</v>
      </c>
      <c r="AC13" s="304">
        <v>65</v>
      </c>
      <c r="AD13" s="146">
        <v>906</v>
      </c>
      <c r="AE13" s="302">
        <v>125</v>
      </c>
      <c r="AF13" s="303">
        <v>106</v>
      </c>
      <c r="AG13" s="301">
        <v>238</v>
      </c>
      <c r="AH13" s="304">
        <v>207</v>
      </c>
      <c r="AI13" s="302">
        <v>1504</v>
      </c>
      <c r="AJ13" s="302">
        <v>171</v>
      </c>
      <c r="AK13" s="303">
        <v>274</v>
      </c>
    </row>
    <row r="14" spans="1:37" ht="14.15" customHeight="1" x14ac:dyDescent="0.3">
      <c r="A14" s="148" t="s">
        <v>65</v>
      </c>
      <c r="B14" s="299">
        <v>44926</v>
      </c>
      <c r="C14" s="145">
        <v>45</v>
      </c>
      <c r="D14" s="143">
        <v>45</v>
      </c>
      <c r="E14" s="143">
        <v>1227</v>
      </c>
      <c r="F14" s="143">
        <v>35</v>
      </c>
      <c r="G14" s="144">
        <v>55</v>
      </c>
      <c r="H14" s="301">
        <v>226</v>
      </c>
      <c r="I14" s="302">
        <v>135</v>
      </c>
      <c r="J14" s="302">
        <v>1227</v>
      </c>
      <c r="K14" s="143">
        <v>161</v>
      </c>
      <c r="L14" s="144">
        <v>200</v>
      </c>
      <c r="M14" s="145">
        <v>55</v>
      </c>
      <c r="N14" s="146">
        <v>27</v>
      </c>
      <c r="O14" s="143"/>
      <c r="P14" s="143">
        <v>43</v>
      </c>
      <c r="Q14" s="143">
        <v>39</v>
      </c>
      <c r="R14" s="301">
        <v>99</v>
      </c>
      <c r="S14" s="304">
        <v>29</v>
      </c>
      <c r="T14" s="143">
        <v>69</v>
      </c>
      <c r="U14" s="302">
        <v>66</v>
      </c>
      <c r="V14" s="303">
        <v>62</v>
      </c>
      <c r="W14" s="145">
        <v>48</v>
      </c>
      <c r="X14" s="146">
        <v>64</v>
      </c>
      <c r="Y14" s="143">
        <v>202</v>
      </c>
      <c r="Z14" s="143">
        <v>32</v>
      </c>
      <c r="AA14" s="144">
        <v>80</v>
      </c>
      <c r="AB14" s="301">
        <v>167</v>
      </c>
      <c r="AC14" s="304">
        <v>58</v>
      </c>
      <c r="AD14" s="143">
        <v>717</v>
      </c>
      <c r="AE14" s="302">
        <v>113</v>
      </c>
      <c r="AF14" s="303">
        <v>112</v>
      </c>
      <c r="AG14" s="301">
        <v>240</v>
      </c>
      <c r="AH14" s="304">
        <v>156</v>
      </c>
      <c r="AI14" s="302">
        <v>1243</v>
      </c>
      <c r="AJ14" s="302">
        <v>170</v>
      </c>
      <c r="AK14" s="303">
        <v>226</v>
      </c>
    </row>
    <row r="15" spans="1:37" ht="14.15" customHeight="1" x14ac:dyDescent="0.3">
      <c r="A15" s="148" t="s">
        <v>66</v>
      </c>
      <c r="B15" s="299">
        <v>44926</v>
      </c>
      <c r="C15" s="145">
        <v>73</v>
      </c>
      <c r="D15" s="143">
        <v>77</v>
      </c>
      <c r="E15" s="143">
        <v>1714</v>
      </c>
      <c r="F15" s="143">
        <v>45</v>
      </c>
      <c r="G15" s="144">
        <v>105</v>
      </c>
      <c r="H15" s="301">
        <v>292</v>
      </c>
      <c r="I15" s="302">
        <v>233</v>
      </c>
      <c r="J15" s="302">
        <v>1714</v>
      </c>
      <c r="K15" s="143">
        <v>217</v>
      </c>
      <c r="L15" s="144">
        <v>308</v>
      </c>
      <c r="M15" s="145">
        <v>75</v>
      </c>
      <c r="N15" s="146">
        <v>28</v>
      </c>
      <c r="O15" s="143"/>
      <c r="P15" s="143">
        <v>53</v>
      </c>
      <c r="Q15" s="143">
        <v>50</v>
      </c>
      <c r="R15" s="301">
        <v>238</v>
      </c>
      <c r="S15" s="304">
        <v>38</v>
      </c>
      <c r="T15" s="143">
        <v>118</v>
      </c>
      <c r="U15" s="302">
        <v>134</v>
      </c>
      <c r="V15" s="303">
        <v>142</v>
      </c>
      <c r="W15" s="145">
        <v>68</v>
      </c>
      <c r="X15" s="146">
        <v>123</v>
      </c>
      <c r="Y15" s="143">
        <v>315</v>
      </c>
      <c r="Z15" s="143">
        <v>44</v>
      </c>
      <c r="AA15" s="144">
        <v>147</v>
      </c>
      <c r="AB15" s="301">
        <v>212</v>
      </c>
      <c r="AC15" s="304">
        <v>95</v>
      </c>
      <c r="AD15" s="143">
        <v>1014</v>
      </c>
      <c r="AE15" s="302">
        <v>161</v>
      </c>
      <c r="AF15" s="303">
        <v>146</v>
      </c>
      <c r="AG15" s="301">
        <v>323</v>
      </c>
      <c r="AH15" s="304">
        <v>262</v>
      </c>
      <c r="AI15" s="302">
        <v>1742</v>
      </c>
      <c r="AJ15" s="302">
        <v>237</v>
      </c>
      <c r="AK15" s="303">
        <v>348</v>
      </c>
    </row>
    <row r="16" spans="1:37" ht="14.15" customHeight="1" x14ac:dyDescent="0.3">
      <c r="A16" s="148" t="s">
        <v>67</v>
      </c>
      <c r="B16" s="299">
        <v>44926</v>
      </c>
      <c r="C16" s="145">
        <v>187</v>
      </c>
      <c r="D16" s="143">
        <v>172</v>
      </c>
      <c r="E16" s="143">
        <v>2940</v>
      </c>
      <c r="F16" s="143">
        <v>146</v>
      </c>
      <c r="G16" s="144">
        <v>213</v>
      </c>
      <c r="H16" s="301">
        <v>705</v>
      </c>
      <c r="I16" s="302">
        <v>467</v>
      </c>
      <c r="J16" s="302">
        <v>2940</v>
      </c>
      <c r="K16" s="143">
        <v>500</v>
      </c>
      <c r="L16" s="144">
        <v>672</v>
      </c>
      <c r="M16" s="145">
        <v>130</v>
      </c>
      <c r="N16" s="146">
        <v>65</v>
      </c>
      <c r="O16" s="143"/>
      <c r="P16" s="143">
        <v>87</v>
      </c>
      <c r="Q16" s="143">
        <v>108</v>
      </c>
      <c r="R16" s="301">
        <v>372</v>
      </c>
      <c r="S16" s="304">
        <v>119</v>
      </c>
      <c r="T16" s="143">
        <v>197</v>
      </c>
      <c r="U16" s="302">
        <v>239</v>
      </c>
      <c r="V16" s="303">
        <v>252</v>
      </c>
      <c r="W16" s="145">
        <v>127</v>
      </c>
      <c r="X16" s="146">
        <v>202</v>
      </c>
      <c r="Y16" s="143">
        <v>402</v>
      </c>
      <c r="Z16" s="143">
        <v>92</v>
      </c>
      <c r="AA16" s="144">
        <v>237</v>
      </c>
      <c r="AB16" s="301">
        <v>556</v>
      </c>
      <c r="AC16" s="304">
        <v>237</v>
      </c>
      <c r="AD16" s="143">
        <v>1740</v>
      </c>
      <c r="AE16" s="302">
        <v>383</v>
      </c>
      <c r="AF16" s="303">
        <v>410</v>
      </c>
      <c r="AG16" s="301">
        <v>746</v>
      </c>
      <c r="AH16" s="304">
        <v>521</v>
      </c>
      <c r="AI16" s="302">
        <v>2985</v>
      </c>
      <c r="AJ16" s="302">
        <v>524</v>
      </c>
      <c r="AK16" s="303">
        <v>743</v>
      </c>
    </row>
    <row r="17" spans="1:37" ht="14.15" customHeight="1" x14ac:dyDescent="0.3">
      <c r="A17" s="148" t="s">
        <v>38</v>
      </c>
      <c r="B17" s="299">
        <v>44926</v>
      </c>
      <c r="C17" s="145">
        <v>18</v>
      </c>
      <c r="D17" s="143">
        <v>19</v>
      </c>
      <c r="E17" s="143">
        <v>213</v>
      </c>
      <c r="F17" s="143">
        <v>12</v>
      </c>
      <c r="G17" s="144">
        <v>25</v>
      </c>
      <c r="H17" s="301">
        <v>58</v>
      </c>
      <c r="I17" s="302">
        <v>60</v>
      </c>
      <c r="J17" s="302">
        <v>213</v>
      </c>
      <c r="K17" s="143">
        <v>49</v>
      </c>
      <c r="L17" s="144">
        <v>69</v>
      </c>
      <c r="M17" s="145">
        <v>11</v>
      </c>
      <c r="N17" s="146">
        <v>9</v>
      </c>
      <c r="O17" s="143"/>
      <c r="P17" s="143">
        <v>10</v>
      </c>
      <c r="Q17" s="143">
        <v>10</v>
      </c>
      <c r="R17" s="301">
        <v>27</v>
      </c>
      <c r="S17" s="304">
        <v>8</v>
      </c>
      <c r="T17" s="143">
        <v>21</v>
      </c>
      <c r="U17" s="302">
        <v>19</v>
      </c>
      <c r="V17" s="303">
        <v>16</v>
      </c>
      <c r="W17" s="145">
        <v>7</v>
      </c>
      <c r="X17" s="146">
        <v>31</v>
      </c>
      <c r="Y17" s="143">
        <v>35</v>
      </c>
      <c r="Z17" s="143">
        <v>8</v>
      </c>
      <c r="AA17" s="144">
        <v>30</v>
      </c>
      <c r="AB17" s="301">
        <v>50</v>
      </c>
      <c r="AC17" s="304">
        <v>28</v>
      </c>
      <c r="AD17" s="143">
        <v>131</v>
      </c>
      <c r="AE17" s="302">
        <v>39</v>
      </c>
      <c r="AF17" s="303">
        <v>39</v>
      </c>
      <c r="AG17" s="301">
        <v>63</v>
      </c>
      <c r="AH17" s="304">
        <v>64</v>
      </c>
      <c r="AI17" s="302">
        <v>214</v>
      </c>
      <c r="AJ17" s="302">
        <v>53</v>
      </c>
      <c r="AK17" s="303">
        <v>74</v>
      </c>
    </row>
    <row r="18" spans="1:37" ht="14.15" customHeight="1" x14ac:dyDescent="0.3">
      <c r="A18" s="148" t="s">
        <v>68</v>
      </c>
      <c r="B18" s="299">
        <v>44926</v>
      </c>
      <c r="C18" s="145">
        <v>83</v>
      </c>
      <c r="D18" s="143">
        <v>64</v>
      </c>
      <c r="E18" s="143">
        <v>922</v>
      </c>
      <c r="F18" s="143">
        <v>46</v>
      </c>
      <c r="G18" s="144">
        <v>101</v>
      </c>
      <c r="H18" s="301">
        <v>271</v>
      </c>
      <c r="I18" s="302">
        <v>177</v>
      </c>
      <c r="J18" s="302">
        <v>922</v>
      </c>
      <c r="K18" s="143">
        <v>170</v>
      </c>
      <c r="L18" s="144">
        <v>278</v>
      </c>
      <c r="M18" s="145">
        <v>46</v>
      </c>
      <c r="N18" s="146">
        <v>15</v>
      </c>
      <c r="O18" s="143"/>
      <c r="P18" s="143">
        <v>31</v>
      </c>
      <c r="Q18" s="143">
        <v>30</v>
      </c>
      <c r="R18" s="301">
        <v>135</v>
      </c>
      <c r="S18" s="304">
        <v>22</v>
      </c>
      <c r="T18" s="143">
        <v>89</v>
      </c>
      <c r="U18" s="302">
        <v>82</v>
      </c>
      <c r="V18" s="303">
        <v>75</v>
      </c>
      <c r="W18" s="145">
        <v>50</v>
      </c>
      <c r="X18" s="146">
        <v>96</v>
      </c>
      <c r="Y18" s="143">
        <v>129</v>
      </c>
      <c r="Z18" s="143">
        <v>33</v>
      </c>
      <c r="AA18" s="144">
        <v>113</v>
      </c>
      <c r="AB18" s="301">
        <v>217</v>
      </c>
      <c r="AC18" s="304">
        <v>72</v>
      </c>
      <c r="AD18" s="143">
        <v>575</v>
      </c>
      <c r="AE18" s="302">
        <v>132</v>
      </c>
      <c r="AF18" s="303">
        <v>157</v>
      </c>
      <c r="AG18" s="301">
        <v>290</v>
      </c>
      <c r="AH18" s="304">
        <v>200</v>
      </c>
      <c r="AI18" s="302">
        <v>933</v>
      </c>
      <c r="AJ18" s="302">
        <v>185</v>
      </c>
      <c r="AK18" s="303">
        <v>305</v>
      </c>
    </row>
    <row r="19" spans="1:37" ht="14.15" customHeight="1" x14ac:dyDescent="0.3">
      <c r="A19" s="148" t="s">
        <v>69</v>
      </c>
      <c r="B19" s="299">
        <v>44926</v>
      </c>
      <c r="C19" s="145">
        <v>44</v>
      </c>
      <c r="D19" s="143">
        <v>21</v>
      </c>
      <c r="E19" s="143">
        <v>390</v>
      </c>
      <c r="F19" s="143">
        <v>25</v>
      </c>
      <c r="G19" s="144">
        <v>40</v>
      </c>
      <c r="H19" s="301">
        <v>119</v>
      </c>
      <c r="I19" s="302">
        <v>70</v>
      </c>
      <c r="J19" s="302">
        <v>390</v>
      </c>
      <c r="K19" s="143">
        <v>85</v>
      </c>
      <c r="L19" s="144">
        <v>104</v>
      </c>
      <c r="M19" s="145">
        <v>28</v>
      </c>
      <c r="N19" s="146">
        <v>5</v>
      </c>
      <c r="O19" s="143"/>
      <c r="P19" s="143">
        <v>17</v>
      </c>
      <c r="Q19" s="143">
        <v>16</v>
      </c>
      <c r="R19" s="301">
        <v>87</v>
      </c>
      <c r="S19" s="304">
        <v>10</v>
      </c>
      <c r="T19" s="143">
        <v>25</v>
      </c>
      <c r="U19" s="302">
        <v>45</v>
      </c>
      <c r="V19" s="303">
        <v>52</v>
      </c>
      <c r="W19" s="145">
        <v>17</v>
      </c>
      <c r="X19" s="146">
        <v>35</v>
      </c>
      <c r="Y19" s="143">
        <v>55</v>
      </c>
      <c r="Z19" s="143">
        <v>12</v>
      </c>
      <c r="AA19" s="144">
        <v>40</v>
      </c>
      <c r="AB19" s="301">
        <v>100</v>
      </c>
      <c r="AC19" s="304">
        <v>32</v>
      </c>
      <c r="AD19" s="143">
        <v>234</v>
      </c>
      <c r="AE19" s="302">
        <v>70</v>
      </c>
      <c r="AF19" s="303">
        <v>62</v>
      </c>
      <c r="AG19" s="301">
        <v>131</v>
      </c>
      <c r="AH19" s="304">
        <v>76</v>
      </c>
      <c r="AI19" s="302">
        <v>399</v>
      </c>
      <c r="AJ19" s="302">
        <v>90</v>
      </c>
      <c r="AK19" s="303">
        <v>117</v>
      </c>
    </row>
    <row r="20" spans="1:37" ht="14.15" customHeight="1" x14ac:dyDescent="0.3">
      <c r="A20" s="148" t="s">
        <v>70</v>
      </c>
      <c r="B20" s="299">
        <v>44926</v>
      </c>
      <c r="C20" s="145">
        <v>111</v>
      </c>
      <c r="D20" s="143">
        <v>119</v>
      </c>
      <c r="E20" s="143">
        <v>2137</v>
      </c>
      <c r="F20" s="143">
        <v>76</v>
      </c>
      <c r="G20" s="144">
        <v>154</v>
      </c>
      <c r="H20" s="301">
        <v>556</v>
      </c>
      <c r="I20" s="302">
        <v>393</v>
      </c>
      <c r="J20" s="302">
        <v>2137</v>
      </c>
      <c r="K20" s="143">
        <v>378</v>
      </c>
      <c r="L20" s="144">
        <v>571</v>
      </c>
      <c r="M20" s="145">
        <v>104</v>
      </c>
      <c r="N20" s="146">
        <v>58</v>
      </c>
      <c r="O20" s="143"/>
      <c r="P20" s="143">
        <v>73</v>
      </c>
      <c r="Q20" s="143">
        <v>89</v>
      </c>
      <c r="R20" s="301">
        <v>290</v>
      </c>
      <c r="S20" s="304">
        <v>84</v>
      </c>
      <c r="T20" s="143">
        <v>143</v>
      </c>
      <c r="U20" s="302">
        <v>168</v>
      </c>
      <c r="V20" s="303">
        <v>206</v>
      </c>
      <c r="W20" s="145">
        <v>98</v>
      </c>
      <c r="X20" s="146">
        <v>200</v>
      </c>
      <c r="Y20" s="143">
        <v>357</v>
      </c>
      <c r="Z20" s="143">
        <v>79</v>
      </c>
      <c r="AA20" s="144">
        <v>219</v>
      </c>
      <c r="AB20" s="301">
        <v>444</v>
      </c>
      <c r="AC20" s="304">
        <v>175</v>
      </c>
      <c r="AD20" s="143">
        <v>1344</v>
      </c>
      <c r="AE20" s="302">
        <v>284</v>
      </c>
      <c r="AF20" s="303">
        <v>335</v>
      </c>
      <c r="AG20" s="301">
        <v>600</v>
      </c>
      <c r="AH20" s="304">
        <v>436</v>
      </c>
      <c r="AI20" s="302">
        <v>2163</v>
      </c>
      <c r="AJ20" s="302">
        <v>405</v>
      </c>
      <c r="AK20" s="303">
        <v>631</v>
      </c>
    </row>
    <row r="21" spans="1:37" ht="14.15" customHeight="1" x14ac:dyDescent="0.3">
      <c r="A21" s="148" t="s">
        <v>71</v>
      </c>
      <c r="B21" s="299">
        <v>44926</v>
      </c>
      <c r="C21" s="145">
        <v>45</v>
      </c>
      <c r="D21" s="143">
        <v>44</v>
      </c>
      <c r="E21" s="143">
        <v>872</v>
      </c>
      <c r="F21" s="143">
        <v>31</v>
      </c>
      <c r="G21" s="144">
        <v>58</v>
      </c>
      <c r="H21" s="301">
        <v>177</v>
      </c>
      <c r="I21" s="302">
        <v>122</v>
      </c>
      <c r="J21" s="302">
        <v>871</v>
      </c>
      <c r="K21" s="143">
        <v>127</v>
      </c>
      <c r="L21" s="144">
        <v>172</v>
      </c>
      <c r="M21" s="145">
        <v>34</v>
      </c>
      <c r="N21" s="146">
        <v>27</v>
      </c>
      <c r="O21" s="143"/>
      <c r="P21" s="143">
        <v>29</v>
      </c>
      <c r="Q21" s="143">
        <v>32</v>
      </c>
      <c r="R21" s="301">
        <v>146</v>
      </c>
      <c r="S21" s="304">
        <v>34</v>
      </c>
      <c r="T21" s="143">
        <v>52</v>
      </c>
      <c r="U21" s="302">
        <v>87</v>
      </c>
      <c r="V21" s="303">
        <v>93</v>
      </c>
      <c r="W21" s="145">
        <v>41</v>
      </c>
      <c r="X21" s="146">
        <v>65</v>
      </c>
      <c r="Y21" s="143">
        <v>132</v>
      </c>
      <c r="Z21" s="143">
        <v>21</v>
      </c>
      <c r="AA21" s="144">
        <v>85</v>
      </c>
      <c r="AB21" s="301">
        <v>130</v>
      </c>
      <c r="AC21" s="304">
        <v>47</v>
      </c>
      <c r="AD21" s="143">
        <v>565</v>
      </c>
      <c r="AE21" s="302">
        <v>97</v>
      </c>
      <c r="AF21" s="303">
        <v>80</v>
      </c>
      <c r="AG21" s="301">
        <v>189</v>
      </c>
      <c r="AH21" s="304">
        <v>138</v>
      </c>
      <c r="AI21" s="302">
        <v>890</v>
      </c>
      <c r="AJ21" s="302">
        <v>136</v>
      </c>
      <c r="AK21" s="303">
        <v>191</v>
      </c>
    </row>
    <row r="22" spans="1:37" ht="14.15" customHeight="1" x14ac:dyDescent="0.3">
      <c r="A22" s="148" t="s">
        <v>72</v>
      </c>
      <c r="B22" s="299">
        <v>44926</v>
      </c>
      <c r="C22" s="145">
        <v>20</v>
      </c>
      <c r="D22" s="143">
        <v>17</v>
      </c>
      <c r="E22" s="143">
        <v>214</v>
      </c>
      <c r="F22" s="143">
        <v>13</v>
      </c>
      <c r="G22" s="144">
        <v>24</v>
      </c>
      <c r="H22" s="301">
        <v>72</v>
      </c>
      <c r="I22" s="302">
        <v>58</v>
      </c>
      <c r="J22" s="302">
        <v>214</v>
      </c>
      <c r="K22" s="143">
        <v>51</v>
      </c>
      <c r="L22" s="144">
        <v>79</v>
      </c>
      <c r="M22" s="145">
        <v>16</v>
      </c>
      <c r="N22" s="146">
        <v>8</v>
      </c>
      <c r="O22" s="143"/>
      <c r="P22" s="143">
        <v>10</v>
      </c>
      <c r="Q22" s="143">
        <v>14</v>
      </c>
      <c r="R22" s="301">
        <v>34</v>
      </c>
      <c r="S22" s="304">
        <v>7</v>
      </c>
      <c r="T22" s="143">
        <v>11</v>
      </c>
      <c r="U22" s="302">
        <v>15</v>
      </c>
      <c r="V22" s="303">
        <v>26</v>
      </c>
      <c r="W22" s="145">
        <v>12</v>
      </c>
      <c r="X22" s="146">
        <v>32</v>
      </c>
      <c r="Y22" s="143">
        <v>30</v>
      </c>
      <c r="Z22" s="143">
        <v>12</v>
      </c>
      <c r="AA22" s="144">
        <v>32</v>
      </c>
      <c r="AB22" s="301">
        <v>57</v>
      </c>
      <c r="AC22" s="304">
        <v>24</v>
      </c>
      <c r="AD22" s="143">
        <v>130</v>
      </c>
      <c r="AE22" s="302">
        <v>37</v>
      </c>
      <c r="AF22" s="303">
        <v>44</v>
      </c>
      <c r="AG22" s="301">
        <v>77</v>
      </c>
      <c r="AH22" s="304">
        <v>60</v>
      </c>
      <c r="AI22" s="302">
        <v>217</v>
      </c>
      <c r="AJ22" s="302">
        <v>53</v>
      </c>
      <c r="AK22" s="303">
        <v>84</v>
      </c>
    </row>
    <row r="23" spans="1:37" ht="14.15" customHeight="1" x14ac:dyDescent="0.3">
      <c r="A23" s="148" t="s">
        <v>73</v>
      </c>
      <c r="B23" s="299">
        <v>44926</v>
      </c>
      <c r="C23" s="145">
        <v>10</v>
      </c>
      <c r="D23" s="143">
        <v>12</v>
      </c>
      <c r="E23" s="143">
        <v>174</v>
      </c>
      <c r="F23" s="143">
        <v>9</v>
      </c>
      <c r="G23" s="144">
        <v>13</v>
      </c>
      <c r="H23" s="301">
        <v>26</v>
      </c>
      <c r="I23" s="302">
        <v>26</v>
      </c>
      <c r="J23" s="302">
        <v>174</v>
      </c>
      <c r="K23" s="143">
        <v>23</v>
      </c>
      <c r="L23" s="144">
        <v>29</v>
      </c>
      <c r="M23" s="145">
        <v>3</v>
      </c>
      <c r="N23" s="146">
        <v>3</v>
      </c>
      <c r="O23" s="143"/>
      <c r="P23" s="143">
        <v>5</v>
      </c>
      <c r="Q23" s="143">
        <v>1</v>
      </c>
      <c r="R23" s="301">
        <v>25</v>
      </c>
      <c r="S23" s="304">
        <v>4</v>
      </c>
      <c r="T23" s="143">
        <v>19</v>
      </c>
      <c r="U23" s="302">
        <v>15</v>
      </c>
      <c r="V23" s="303">
        <v>14</v>
      </c>
      <c r="W23" s="145">
        <v>3</v>
      </c>
      <c r="X23" s="146">
        <v>12</v>
      </c>
      <c r="Y23" s="143">
        <v>33</v>
      </c>
      <c r="Z23" s="143">
        <v>4</v>
      </c>
      <c r="AA23" s="144">
        <v>11</v>
      </c>
      <c r="AB23" s="301">
        <v>22</v>
      </c>
      <c r="AC23" s="304">
        <v>14</v>
      </c>
      <c r="AD23" s="143">
        <v>110</v>
      </c>
      <c r="AE23" s="302">
        <v>18</v>
      </c>
      <c r="AF23" s="303">
        <v>18</v>
      </c>
      <c r="AG23" s="301">
        <v>27</v>
      </c>
      <c r="AH23" s="304">
        <v>26</v>
      </c>
      <c r="AI23" s="302">
        <v>177</v>
      </c>
      <c r="AJ23" s="302">
        <v>23</v>
      </c>
      <c r="AK23" s="303">
        <v>30</v>
      </c>
    </row>
    <row r="24" spans="1:37" ht="14.15" customHeight="1" x14ac:dyDescent="0.3">
      <c r="A24" s="148" t="s">
        <v>74</v>
      </c>
      <c r="B24" s="299">
        <v>44926</v>
      </c>
      <c r="C24" s="145">
        <v>145</v>
      </c>
      <c r="D24" s="143">
        <v>165</v>
      </c>
      <c r="E24" s="143">
        <v>2709</v>
      </c>
      <c r="F24" s="143">
        <v>93</v>
      </c>
      <c r="G24" s="144">
        <v>217</v>
      </c>
      <c r="H24" s="301">
        <v>563</v>
      </c>
      <c r="I24" s="302">
        <v>450</v>
      </c>
      <c r="J24" s="302">
        <v>2709</v>
      </c>
      <c r="K24" s="143">
        <v>404</v>
      </c>
      <c r="L24" s="144">
        <v>609</v>
      </c>
      <c r="M24" s="145">
        <v>91</v>
      </c>
      <c r="N24" s="146">
        <v>51</v>
      </c>
      <c r="O24" s="143"/>
      <c r="P24" s="143">
        <v>72</v>
      </c>
      <c r="Q24" s="143">
        <v>70</v>
      </c>
      <c r="R24" s="301">
        <v>324</v>
      </c>
      <c r="S24" s="304">
        <v>93</v>
      </c>
      <c r="T24" s="143">
        <v>187</v>
      </c>
      <c r="U24" s="302">
        <v>193</v>
      </c>
      <c r="V24" s="303">
        <v>224</v>
      </c>
      <c r="W24" s="145">
        <v>100</v>
      </c>
      <c r="X24" s="146">
        <v>233</v>
      </c>
      <c r="Y24" s="143">
        <v>460</v>
      </c>
      <c r="Z24" s="143">
        <v>77</v>
      </c>
      <c r="AA24" s="144">
        <v>256</v>
      </c>
      <c r="AB24" s="301">
        <v>446</v>
      </c>
      <c r="AC24" s="304">
        <v>200</v>
      </c>
      <c r="AD24" s="143">
        <v>1639</v>
      </c>
      <c r="AE24" s="302">
        <v>310</v>
      </c>
      <c r="AF24" s="303">
        <v>336</v>
      </c>
      <c r="AG24" s="301">
        <v>603</v>
      </c>
      <c r="AH24" s="304">
        <v>499</v>
      </c>
      <c r="AI24" s="302">
        <v>2758</v>
      </c>
      <c r="AJ24" s="302">
        <v>434</v>
      </c>
      <c r="AK24" s="303">
        <v>668</v>
      </c>
    </row>
    <row r="25" spans="1:37" ht="14.15" customHeight="1" x14ac:dyDescent="0.3">
      <c r="A25" s="148" t="s">
        <v>75</v>
      </c>
      <c r="B25" s="299">
        <v>44926</v>
      </c>
      <c r="C25" s="145">
        <v>37</v>
      </c>
      <c r="D25" s="143">
        <v>31</v>
      </c>
      <c r="E25" s="143">
        <v>466</v>
      </c>
      <c r="F25" s="143">
        <v>21</v>
      </c>
      <c r="G25" s="144">
        <v>47</v>
      </c>
      <c r="H25" s="301">
        <v>145</v>
      </c>
      <c r="I25" s="302">
        <v>95</v>
      </c>
      <c r="J25" s="302">
        <v>466</v>
      </c>
      <c r="K25" s="143">
        <v>92</v>
      </c>
      <c r="L25" s="144">
        <v>148</v>
      </c>
      <c r="M25" s="145">
        <v>30</v>
      </c>
      <c r="N25" s="146">
        <v>8</v>
      </c>
      <c r="O25" s="143"/>
      <c r="P25" s="143">
        <v>20</v>
      </c>
      <c r="Q25" s="143">
        <v>18</v>
      </c>
      <c r="R25" s="301">
        <v>66</v>
      </c>
      <c r="S25" s="304">
        <v>12</v>
      </c>
      <c r="T25" s="143">
        <v>31</v>
      </c>
      <c r="U25" s="302">
        <v>38</v>
      </c>
      <c r="V25" s="303">
        <v>40</v>
      </c>
      <c r="W25" s="145">
        <v>38</v>
      </c>
      <c r="X25" s="146">
        <v>51</v>
      </c>
      <c r="Y25" s="143">
        <v>61</v>
      </c>
      <c r="Z25" s="143">
        <v>22</v>
      </c>
      <c r="AA25" s="144">
        <v>67</v>
      </c>
      <c r="AB25" s="301">
        <v>102</v>
      </c>
      <c r="AC25" s="304">
        <v>37</v>
      </c>
      <c r="AD25" s="143">
        <v>293</v>
      </c>
      <c r="AE25" s="302">
        <v>63</v>
      </c>
      <c r="AF25" s="303">
        <v>76</v>
      </c>
      <c r="AG25" s="301">
        <v>154</v>
      </c>
      <c r="AH25" s="304">
        <v>100</v>
      </c>
      <c r="AI25" s="302">
        <v>473</v>
      </c>
      <c r="AJ25" s="302">
        <v>95</v>
      </c>
      <c r="AK25" s="303">
        <v>159</v>
      </c>
    </row>
    <row r="26" spans="1:37" ht="14.15" customHeight="1" x14ac:dyDescent="0.3">
      <c r="A26" s="148" t="s">
        <v>76</v>
      </c>
      <c r="B26" s="299">
        <v>44926</v>
      </c>
      <c r="C26" s="145">
        <v>80</v>
      </c>
      <c r="D26" s="143">
        <v>74</v>
      </c>
      <c r="E26" s="143">
        <v>1397</v>
      </c>
      <c r="F26" s="143">
        <v>60</v>
      </c>
      <c r="G26" s="144">
        <v>94</v>
      </c>
      <c r="H26" s="301">
        <v>361</v>
      </c>
      <c r="I26" s="302">
        <v>226</v>
      </c>
      <c r="J26" s="302">
        <v>1397</v>
      </c>
      <c r="K26" s="143">
        <v>264</v>
      </c>
      <c r="L26" s="144">
        <v>323</v>
      </c>
      <c r="M26" s="145">
        <v>90</v>
      </c>
      <c r="N26" s="146">
        <v>18</v>
      </c>
      <c r="O26" s="143"/>
      <c r="P26" s="143">
        <v>59</v>
      </c>
      <c r="Q26" s="143">
        <v>49</v>
      </c>
      <c r="R26" s="301">
        <v>245</v>
      </c>
      <c r="S26" s="304">
        <v>45</v>
      </c>
      <c r="T26" s="143">
        <v>94</v>
      </c>
      <c r="U26" s="302">
        <v>150</v>
      </c>
      <c r="V26" s="303">
        <v>140</v>
      </c>
      <c r="W26" s="145">
        <v>80</v>
      </c>
      <c r="X26" s="146">
        <v>116</v>
      </c>
      <c r="Y26" s="143">
        <v>216</v>
      </c>
      <c r="Z26" s="143">
        <v>64</v>
      </c>
      <c r="AA26" s="144">
        <v>132</v>
      </c>
      <c r="AB26" s="301">
        <v>271</v>
      </c>
      <c r="AC26" s="304">
        <v>101</v>
      </c>
      <c r="AD26" s="143">
        <v>865</v>
      </c>
      <c r="AE26" s="302">
        <v>190</v>
      </c>
      <c r="AF26" s="303">
        <v>182</v>
      </c>
      <c r="AG26" s="301">
        <v>403</v>
      </c>
      <c r="AH26" s="304">
        <v>254</v>
      </c>
      <c r="AI26" s="302">
        <v>1420</v>
      </c>
      <c r="AJ26" s="302">
        <v>286</v>
      </c>
      <c r="AK26" s="303">
        <v>371</v>
      </c>
    </row>
    <row r="27" spans="1:37" ht="14.15" customHeight="1" x14ac:dyDescent="0.3">
      <c r="A27" s="148" t="s">
        <v>77</v>
      </c>
      <c r="B27" s="299">
        <v>44926</v>
      </c>
      <c r="C27" s="145">
        <v>67</v>
      </c>
      <c r="D27" s="143">
        <v>95</v>
      </c>
      <c r="E27" s="143">
        <v>824</v>
      </c>
      <c r="F27" s="143">
        <v>39</v>
      </c>
      <c r="G27" s="144">
        <v>123</v>
      </c>
      <c r="H27" s="301">
        <v>275</v>
      </c>
      <c r="I27" s="302">
        <v>220</v>
      </c>
      <c r="J27" s="302">
        <v>824</v>
      </c>
      <c r="K27" s="143">
        <v>187</v>
      </c>
      <c r="L27" s="144">
        <v>308</v>
      </c>
      <c r="M27" s="145">
        <v>47</v>
      </c>
      <c r="N27" s="146">
        <v>23</v>
      </c>
      <c r="O27" s="143"/>
      <c r="P27" s="143">
        <v>30</v>
      </c>
      <c r="Q27" s="143">
        <v>40</v>
      </c>
      <c r="R27" s="301">
        <v>107</v>
      </c>
      <c r="S27" s="304">
        <v>31</v>
      </c>
      <c r="T27" s="143">
        <v>60</v>
      </c>
      <c r="U27" s="302">
        <v>60</v>
      </c>
      <c r="V27" s="303">
        <v>78</v>
      </c>
      <c r="W27" s="145">
        <v>51</v>
      </c>
      <c r="X27" s="146">
        <v>139</v>
      </c>
      <c r="Y27" s="143">
        <v>121</v>
      </c>
      <c r="Z27" s="143">
        <v>41</v>
      </c>
      <c r="AA27" s="144">
        <v>149</v>
      </c>
      <c r="AB27" s="301">
        <v>221</v>
      </c>
      <c r="AC27" s="304">
        <v>75</v>
      </c>
      <c r="AD27" s="143">
        <v>466</v>
      </c>
      <c r="AE27" s="302">
        <v>143</v>
      </c>
      <c r="AF27" s="303">
        <v>153</v>
      </c>
      <c r="AG27" s="301">
        <v>294</v>
      </c>
      <c r="AH27" s="304">
        <v>250</v>
      </c>
      <c r="AI27" s="302">
        <v>833</v>
      </c>
      <c r="AJ27" s="302">
        <v>203</v>
      </c>
      <c r="AK27" s="303">
        <v>341</v>
      </c>
    </row>
    <row r="28" spans="1:37" ht="14.15" customHeight="1" x14ac:dyDescent="0.3">
      <c r="A28" s="148" t="s">
        <v>78</v>
      </c>
      <c r="B28" s="299">
        <v>44926</v>
      </c>
      <c r="C28" s="145">
        <v>46</v>
      </c>
      <c r="D28" s="143">
        <v>78</v>
      </c>
      <c r="E28" s="143">
        <v>1239</v>
      </c>
      <c r="F28" s="143">
        <v>42</v>
      </c>
      <c r="G28" s="144">
        <v>82</v>
      </c>
      <c r="H28" s="301">
        <v>173</v>
      </c>
      <c r="I28" s="302">
        <v>198</v>
      </c>
      <c r="J28" s="302">
        <v>1239</v>
      </c>
      <c r="K28" s="143">
        <v>137</v>
      </c>
      <c r="L28" s="144">
        <v>234</v>
      </c>
      <c r="M28" s="145">
        <v>42</v>
      </c>
      <c r="N28" s="146">
        <v>31</v>
      </c>
      <c r="O28" s="143"/>
      <c r="P28" s="143">
        <v>30</v>
      </c>
      <c r="Q28" s="143">
        <v>43</v>
      </c>
      <c r="R28" s="301">
        <v>75</v>
      </c>
      <c r="S28" s="304">
        <v>27</v>
      </c>
      <c r="T28" s="143">
        <v>98</v>
      </c>
      <c r="U28" s="302">
        <v>47</v>
      </c>
      <c r="V28" s="303">
        <v>55</v>
      </c>
      <c r="W28" s="145">
        <v>31</v>
      </c>
      <c r="X28" s="146">
        <v>104</v>
      </c>
      <c r="Y28" s="143">
        <v>171</v>
      </c>
      <c r="Z28" s="143">
        <v>23</v>
      </c>
      <c r="AA28" s="144">
        <v>112</v>
      </c>
      <c r="AB28" s="301">
        <v>137</v>
      </c>
      <c r="AC28" s="304">
        <v>88</v>
      </c>
      <c r="AD28" s="143">
        <v>782</v>
      </c>
      <c r="AE28" s="302">
        <v>110</v>
      </c>
      <c r="AF28" s="303">
        <v>115</v>
      </c>
      <c r="AG28" s="301">
        <v>177</v>
      </c>
      <c r="AH28" s="304">
        <v>228</v>
      </c>
      <c r="AI28" s="302">
        <v>1279</v>
      </c>
      <c r="AJ28" s="302">
        <v>146</v>
      </c>
      <c r="AK28" s="303">
        <v>259</v>
      </c>
    </row>
    <row r="29" spans="1:37" ht="14.15" customHeight="1" x14ac:dyDescent="0.3">
      <c r="A29" s="148" t="s">
        <v>79</v>
      </c>
      <c r="B29" s="299">
        <v>44926</v>
      </c>
      <c r="C29" s="145">
        <v>68</v>
      </c>
      <c r="D29" s="143">
        <v>82</v>
      </c>
      <c r="E29" s="143">
        <v>1897</v>
      </c>
      <c r="F29" s="143">
        <v>43</v>
      </c>
      <c r="G29" s="144">
        <v>107</v>
      </c>
      <c r="H29" s="301">
        <v>248</v>
      </c>
      <c r="I29" s="302">
        <v>205</v>
      </c>
      <c r="J29" s="302">
        <v>1897</v>
      </c>
      <c r="K29" s="143">
        <v>171</v>
      </c>
      <c r="L29" s="144">
        <v>282</v>
      </c>
      <c r="M29" s="145">
        <v>71</v>
      </c>
      <c r="N29" s="146">
        <v>48</v>
      </c>
      <c r="O29" s="143"/>
      <c r="P29" s="143">
        <v>55</v>
      </c>
      <c r="Q29" s="143">
        <v>64</v>
      </c>
      <c r="R29" s="301">
        <v>126</v>
      </c>
      <c r="S29" s="304">
        <v>41</v>
      </c>
      <c r="T29" s="143">
        <v>157</v>
      </c>
      <c r="U29" s="302">
        <v>86</v>
      </c>
      <c r="V29" s="303">
        <v>81</v>
      </c>
      <c r="W29" s="145">
        <v>58</v>
      </c>
      <c r="X29" s="146">
        <v>118</v>
      </c>
      <c r="Y29" s="143">
        <v>257</v>
      </c>
      <c r="Z29" s="143">
        <v>42</v>
      </c>
      <c r="AA29" s="144">
        <v>134</v>
      </c>
      <c r="AB29" s="301">
        <v>183</v>
      </c>
      <c r="AC29" s="304">
        <v>80</v>
      </c>
      <c r="AD29" s="143">
        <v>1115</v>
      </c>
      <c r="AE29" s="302">
        <v>124</v>
      </c>
      <c r="AF29" s="303">
        <v>139</v>
      </c>
      <c r="AG29" s="301">
        <v>263</v>
      </c>
      <c r="AH29" s="304">
        <v>229</v>
      </c>
      <c r="AI29" s="302">
        <v>1922</v>
      </c>
      <c r="AJ29" s="302">
        <v>181</v>
      </c>
      <c r="AK29" s="303">
        <v>311</v>
      </c>
    </row>
    <row r="30" spans="1:37" ht="14.15" customHeight="1" x14ac:dyDescent="0.3">
      <c r="A30" s="148" t="s">
        <v>80</v>
      </c>
      <c r="B30" s="299">
        <v>44926</v>
      </c>
      <c r="C30" s="145">
        <v>10</v>
      </c>
      <c r="D30" s="143">
        <v>12</v>
      </c>
      <c r="E30" s="143">
        <v>186</v>
      </c>
      <c r="F30" s="143">
        <v>5</v>
      </c>
      <c r="G30" s="144">
        <v>17</v>
      </c>
      <c r="H30" s="301">
        <v>61</v>
      </c>
      <c r="I30" s="302">
        <v>51</v>
      </c>
      <c r="J30" s="302">
        <v>186</v>
      </c>
      <c r="K30" s="143">
        <v>40</v>
      </c>
      <c r="L30" s="144">
        <v>72</v>
      </c>
      <c r="M30" s="145">
        <v>12</v>
      </c>
      <c r="N30" s="146">
        <v>4</v>
      </c>
      <c r="O30" s="143"/>
      <c r="P30" s="143">
        <v>8</v>
      </c>
      <c r="Q30" s="143">
        <v>8</v>
      </c>
      <c r="R30" s="301">
        <v>28</v>
      </c>
      <c r="S30" s="304">
        <v>7</v>
      </c>
      <c r="T30" s="143">
        <v>15</v>
      </c>
      <c r="U30" s="302">
        <v>16</v>
      </c>
      <c r="V30" s="303">
        <v>19</v>
      </c>
      <c r="W30" s="145">
        <v>8</v>
      </c>
      <c r="X30" s="146">
        <v>30</v>
      </c>
      <c r="Y30" s="143">
        <v>26</v>
      </c>
      <c r="Z30" s="143">
        <v>8</v>
      </c>
      <c r="AA30" s="144">
        <v>30</v>
      </c>
      <c r="AB30" s="301">
        <v>52</v>
      </c>
      <c r="AC30" s="304">
        <v>20</v>
      </c>
      <c r="AD30" s="143">
        <v>116</v>
      </c>
      <c r="AE30" s="302">
        <v>32</v>
      </c>
      <c r="AF30" s="303">
        <v>40</v>
      </c>
      <c r="AG30" s="301">
        <v>70</v>
      </c>
      <c r="AH30" s="304">
        <v>54</v>
      </c>
      <c r="AI30" s="302">
        <v>186</v>
      </c>
      <c r="AJ30" s="302">
        <v>46</v>
      </c>
      <c r="AK30" s="303">
        <v>78</v>
      </c>
    </row>
    <row r="31" spans="1:37" ht="14.15" customHeight="1" x14ac:dyDescent="0.3">
      <c r="A31" s="148" t="s">
        <v>81</v>
      </c>
      <c r="B31" s="299">
        <v>44926</v>
      </c>
      <c r="C31" s="145">
        <v>250</v>
      </c>
      <c r="D31" s="143">
        <v>213</v>
      </c>
      <c r="E31" s="143">
        <v>4229</v>
      </c>
      <c r="F31" s="143">
        <v>171</v>
      </c>
      <c r="G31" s="144">
        <v>292</v>
      </c>
      <c r="H31" s="301">
        <v>861</v>
      </c>
      <c r="I31" s="302">
        <v>648</v>
      </c>
      <c r="J31" s="302">
        <v>4229</v>
      </c>
      <c r="K31" s="143">
        <v>625</v>
      </c>
      <c r="L31" s="144">
        <v>884</v>
      </c>
      <c r="M31" s="145">
        <v>141</v>
      </c>
      <c r="N31" s="146">
        <v>86</v>
      </c>
      <c r="O31" s="143"/>
      <c r="P31" s="143">
        <v>121</v>
      </c>
      <c r="Q31" s="143">
        <v>106</v>
      </c>
      <c r="R31" s="301">
        <v>573</v>
      </c>
      <c r="S31" s="304">
        <v>188</v>
      </c>
      <c r="T31" s="143">
        <v>325</v>
      </c>
      <c r="U31" s="302">
        <v>377</v>
      </c>
      <c r="V31" s="303">
        <v>384</v>
      </c>
      <c r="W31" s="145">
        <v>160</v>
      </c>
      <c r="X31" s="146">
        <v>320</v>
      </c>
      <c r="Y31" s="143">
        <v>664</v>
      </c>
      <c r="Z31" s="143">
        <v>112</v>
      </c>
      <c r="AA31" s="144">
        <v>368</v>
      </c>
      <c r="AB31" s="301">
        <v>688</v>
      </c>
      <c r="AC31" s="304">
        <v>305</v>
      </c>
      <c r="AD31" s="143">
        <v>2510</v>
      </c>
      <c r="AE31" s="302">
        <v>494</v>
      </c>
      <c r="AF31" s="303">
        <v>499</v>
      </c>
      <c r="AG31" s="301">
        <v>912</v>
      </c>
      <c r="AH31" s="304">
        <v>703</v>
      </c>
      <c r="AI31" s="302">
        <v>4299</v>
      </c>
      <c r="AJ31" s="302">
        <v>667</v>
      </c>
      <c r="AK31" s="303">
        <v>948</v>
      </c>
    </row>
    <row r="32" spans="1:37" ht="14.15" customHeight="1" x14ac:dyDescent="0.3">
      <c r="A32" s="148" t="s">
        <v>82</v>
      </c>
      <c r="B32" s="299">
        <v>44926</v>
      </c>
      <c r="C32" s="145">
        <v>110</v>
      </c>
      <c r="D32" s="143">
        <v>105</v>
      </c>
      <c r="E32" s="143">
        <v>1505</v>
      </c>
      <c r="F32" s="143">
        <v>73</v>
      </c>
      <c r="G32" s="144">
        <v>142</v>
      </c>
      <c r="H32" s="301">
        <v>371</v>
      </c>
      <c r="I32" s="302">
        <v>303</v>
      </c>
      <c r="J32" s="302">
        <v>1505</v>
      </c>
      <c r="K32" s="143">
        <v>291</v>
      </c>
      <c r="L32" s="144">
        <v>383</v>
      </c>
      <c r="M32" s="145">
        <v>64</v>
      </c>
      <c r="N32" s="146">
        <v>49</v>
      </c>
      <c r="O32" s="143"/>
      <c r="P32" s="143">
        <v>54</v>
      </c>
      <c r="Q32" s="143">
        <v>59</v>
      </c>
      <c r="R32" s="301">
        <v>206</v>
      </c>
      <c r="S32" s="304">
        <v>75</v>
      </c>
      <c r="T32" s="143">
        <v>107</v>
      </c>
      <c r="U32" s="302">
        <v>145</v>
      </c>
      <c r="V32" s="303">
        <v>136</v>
      </c>
      <c r="W32" s="145">
        <v>64</v>
      </c>
      <c r="X32" s="146">
        <v>138</v>
      </c>
      <c r="Y32" s="143">
        <v>198</v>
      </c>
      <c r="Z32" s="143">
        <v>53</v>
      </c>
      <c r="AA32" s="144">
        <v>149</v>
      </c>
      <c r="AB32" s="301">
        <v>296</v>
      </c>
      <c r="AC32" s="304">
        <v>152</v>
      </c>
      <c r="AD32" s="143">
        <v>995</v>
      </c>
      <c r="AE32" s="302">
        <v>223</v>
      </c>
      <c r="AF32" s="303">
        <v>225</v>
      </c>
      <c r="AG32" s="301">
        <v>409</v>
      </c>
      <c r="AH32" s="304">
        <v>331</v>
      </c>
      <c r="AI32" s="302">
        <v>1529</v>
      </c>
      <c r="AJ32" s="302">
        <v>311</v>
      </c>
      <c r="AK32" s="303">
        <v>429</v>
      </c>
    </row>
    <row r="33" spans="1:37" ht="14.15" customHeight="1" x14ac:dyDescent="0.3">
      <c r="A33" s="148" t="s">
        <v>83</v>
      </c>
      <c r="B33" s="299">
        <v>44926</v>
      </c>
      <c r="C33" s="145">
        <v>45</v>
      </c>
      <c r="D33" s="143">
        <v>35</v>
      </c>
      <c r="E33" s="143">
        <v>652</v>
      </c>
      <c r="F33" s="143">
        <v>30</v>
      </c>
      <c r="G33" s="144">
        <v>50</v>
      </c>
      <c r="H33" s="301">
        <v>158</v>
      </c>
      <c r="I33" s="302">
        <v>104</v>
      </c>
      <c r="J33" s="302">
        <v>652</v>
      </c>
      <c r="K33" s="143">
        <v>114</v>
      </c>
      <c r="L33" s="144">
        <v>148</v>
      </c>
      <c r="M33" s="145">
        <v>34</v>
      </c>
      <c r="N33" s="146">
        <v>14</v>
      </c>
      <c r="O33" s="143"/>
      <c r="P33" s="143">
        <v>23</v>
      </c>
      <c r="Q33" s="143">
        <v>25</v>
      </c>
      <c r="R33" s="301">
        <v>95</v>
      </c>
      <c r="S33" s="304">
        <v>19</v>
      </c>
      <c r="T33" s="143">
        <v>42</v>
      </c>
      <c r="U33" s="302">
        <v>51</v>
      </c>
      <c r="V33" s="303">
        <v>63</v>
      </c>
      <c r="W33" s="145">
        <v>31</v>
      </c>
      <c r="X33" s="146">
        <v>42</v>
      </c>
      <c r="Y33" s="143">
        <v>81</v>
      </c>
      <c r="Z33" s="143">
        <v>22</v>
      </c>
      <c r="AA33" s="144">
        <v>51</v>
      </c>
      <c r="AB33" s="301">
        <v>124</v>
      </c>
      <c r="AC33" s="304">
        <v>60</v>
      </c>
      <c r="AD33" s="143">
        <v>378</v>
      </c>
      <c r="AE33" s="302">
        <v>90</v>
      </c>
      <c r="AF33" s="303">
        <v>94</v>
      </c>
      <c r="AG33" s="301">
        <v>167</v>
      </c>
      <c r="AH33" s="304">
        <v>109</v>
      </c>
      <c r="AI33" s="302">
        <v>660</v>
      </c>
      <c r="AJ33" s="302">
        <v>119</v>
      </c>
      <c r="AK33" s="303">
        <v>157</v>
      </c>
    </row>
    <row r="34" spans="1:37" ht="14.15" customHeight="1" x14ac:dyDescent="0.3">
      <c r="A34" s="148" t="s">
        <v>84</v>
      </c>
      <c r="B34" s="299">
        <v>44926</v>
      </c>
      <c r="C34" s="145">
        <v>303</v>
      </c>
      <c r="D34" s="143">
        <v>398</v>
      </c>
      <c r="E34" s="143">
        <v>8268</v>
      </c>
      <c r="F34" s="143">
        <v>199</v>
      </c>
      <c r="G34" s="144">
        <v>502</v>
      </c>
      <c r="H34" s="301">
        <v>1592</v>
      </c>
      <c r="I34" s="302">
        <v>1148</v>
      </c>
      <c r="J34" s="302">
        <v>8267</v>
      </c>
      <c r="K34" s="143">
        <v>1111</v>
      </c>
      <c r="L34" s="144">
        <v>1629</v>
      </c>
      <c r="M34" s="145">
        <v>336</v>
      </c>
      <c r="N34" s="146">
        <v>140</v>
      </c>
      <c r="O34" s="143"/>
      <c r="P34" s="143">
        <v>231</v>
      </c>
      <c r="Q34" s="143">
        <v>245</v>
      </c>
      <c r="R34" s="301">
        <v>853</v>
      </c>
      <c r="S34" s="304">
        <v>283</v>
      </c>
      <c r="T34" s="143">
        <v>467</v>
      </c>
      <c r="U34" s="302">
        <v>549</v>
      </c>
      <c r="V34" s="303">
        <v>587</v>
      </c>
      <c r="W34" s="145">
        <v>274</v>
      </c>
      <c r="X34" s="146">
        <v>621</v>
      </c>
      <c r="Y34" s="143">
        <v>1463</v>
      </c>
      <c r="Z34" s="143">
        <v>189</v>
      </c>
      <c r="AA34" s="144">
        <v>706</v>
      </c>
      <c r="AB34" s="301">
        <v>1274</v>
      </c>
      <c r="AC34" s="304">
        <v>460</v>
      </c>
      <c r="AD34" s="143">
        <v>4968</v>
      </c>
      <c r="AE34" s="302">
        <v>866</v>
      </c>
      <c r="AF34" s="303">
        <v>868</v>
      </c>
      <c r="AG34" s="301">
        <v>1707</v>
      </c>
      <c r="AH34" s="304">
        <v>1293</v>
      </c>
      <c r="AI34" s="302">
        <v>8378</v>
      </c>
      <c r="AJ34" s="302">
        <v>1197</v>
      </c>
      <c r="AK34" s="303">
        <v>1803</v>
      </c>
    </row>
    <row r="35" spans="1:37" ht="14.15" customHeight="1" x14ac:dyDescent="0.3">
      <c r="D35" s="197"/>
      <c r="E35" s="197"/>
    </row>
    <row r="36" spans="1:37" s="242" customFormat="1" ht="14.15" hidden="1" customHeight="1" x14ac:dyDescent="0.3">
      <c r="A36" s="243" t="s">
        <v>158</v>
      </c>
      <c r="B36" s="245"/>
      <c r="C36" s="244">
        <f>SUM(C8:D8)</f>
        <v>4906</v>
      </c>
      <c r="D36" s="245"/>
      <c r="E36" s="245"/>
      <c r="F36" s="244" t="e">
        <f>SUM(#REF!)</f>
        <v>#REF!</v>
      </c>
      <c r="G36" s="245"/>
      <c r="H36" s="244">
        <f>SUM(H8:I8)</f>
        <v>17184</v>
      </c>
      <c r="I36" s="245"/>
      <c r="J36" s="245"/>
      <c r="K36" s="244">
        <f>SUM(K8:L8)</f>
        <v>17184</v>
      </c>
      <c r="L36" s="245"/>
      <c r="M36" s="243">
        <f>SUM(M8:N8)</f>
        <v>2949</v>
      </c>
      <c r="N36" s="245"/>
      <c r="O36" s="245"/>
      <c r="P36" s="243">
        <f>SUM(P8:Q8)</f>
        <v>2949</v>
      </c>
      <c r="Q36" s="245"/>
      <c r="R36" s="243">
        <f>SUM(R8:S8)</f>
        <v>7134</v>
      </c>
      <c r="S36" s="245"/>
      <c r="T36" s="245"/>
      <c r="U36" s="243">
        <f>SUM(U8:V8)</f>
        <v>7134</v>
      </c>
      <c r="V36" s="245"/>
      <c r="W36" s="243">
        <f>SUM(W8:X8)</f>
        <v>5563</v>
      </c>
      <c r="X36" s="245"/>
      <c r="Y36" s="245"/>
      <c r="Z36" s="243">
        <f>SUM(Z8:AA8)</f>
        <v>5563</v>
      </c>
      <c r="AA36" s="245"/>
      <c r="AB36" s="243">
        <f>SUM(AB8:AC8)</f>
        <v>11007</v>
      </c>
      <c r="AC36" s="245"/>
      <c r="AD36" s="245"/>
      <c r="AE36" s="243">
        <f>SUM(AE8:AF8)</f>
        <v>11007</v>
      </c>
      <c r="AF36" s="245"/>
      <c r="AG36" s="243">
        <f>SUM(AG8:AH8)</f>
        <v>18759</v>
      </c>
      <c r="AH36" s="245"/>
      <c r="AI36" s="245"/>
      <c r="AJ36" s="243">
        <f>SUM(AJ8:AK8)</f>
        <v>18759</v>
      </c>
      <c r="AK36" s="245"/>
    </row>
    <row r="37" spans="1:37" ht="14.15" customHeight="1" x14ac:dyDescent="0.3">
      <c r="C37" s="197"/>
      <c r="F37" s="197"/>
      <c r="H37" s="197"/>
    </row>
    <row r="38" spans="1:37" ht="14.15" customHeight="1" x14ac:dyDescent="0.3">
      <c r="C38" s="197"/>
      <c r="F38" s="197"/>
      <c r="H38" s="197"/>
    </row>
    <row r="39" spans="1:37" ht="14.15" customHeight="1" x14ac:dyDescent="0.3">
      <c r="C39" s="197"/>
      <c r="F39" s="197"/>
    </row>
    <row r="40" spans="1:37" ht="14.15" customHeight="1" x14ac:dyDescent="0.3">
      <c r="C40" s="197"/>
      <c r="F40" s="197"/>
    </row>
    <row r="41" spans="1:37" ht="14.15" customHeight="1" x14ac:dyDescent="0.3">
      <c r="C41" s="197"/>
      <c r="F41" s="197"/>
    </row>
    <row r="42" spans="1:37" ht="14.15" customHeight="1" x14ac:dyDescent="0.3">
      <c r="C42" s="197"/>
      <c r="F42" s="197"/>
    </row>
    <row r="43" spans="1:37" ht="14.15" customHeight="1" x14ac:dyDescent="0.3">
      <c r="C43" s="197"/>
      <c r="F43" s="197"/>
    </row>
    <row r="44" spans="1:37" ht="14.15" customHeight="1" x14ac:dyDescent="0.3">
      <c r="C44" s="197"/>
      <c r="F44" s="197"/>
    </row>
    <row r="45" spans="1:37" ht="14.15" customHeight="1" x14ac:dyDescent="0.3">
      <c r="C45" s="197"/>
      <c r="F45" s="197"/>
    </row>
    <row r="46" spans="1:37" ht="14.15" customHeight="1" x14ac:dyDescent="0.3">
      <c r="C46" s="197"/>
      <c r="F46" s="197"/>
    </row>
    <row r="47" spans="1:37" ht="14.15" customHeight="1" x14ac:dyDescent="0.3">
      <c r="C47" s="197"/>
      <c r="F47" s="197"/>
    </row>
    <row r="48" spans="1:37" ht="14.15" customHeight="1" x14ac:dyDescent="0.3">
      <c r="C48" s="197"/>
      <c r="F48" s="197"/>
    </row>
    <row r="49" spans="3:6" ht="14.15" customHeight="1" x14ac:dyDescent="0.3">
      <c r="C49" s="197"/>
      <c r="F49" s="197"/>
    </row>
    <row r="50" spans="3:6" ht="14.15" customHeight="1" x14ac:dyDescent="0.3">
      <c r="C50" s="197"/>
      <c r="F50" s="197"/>
    </row>
    <row r="51" spans="3:6" ht="14.15" customHeight="1" x14ac:dyDescent="0.3">
      <c r="C51" s="197"/>
      <c r="F51" s="197"/>
    </row>
    <row r="52" spans="3:6" ht="14.15" customHeight="1" x14ac:dyDescent="0.3">
      <c r="C52" s="197"/>
      <c r="F52" s="197"/>
    </row>
    <row r="53" spans="3:6" x14ac:dyDescent="0.3">
      <c r="C53" s="197"/>
      <c r="F53" s="197"/>
    </row>
    <row r="54" spans="3:6" x14ac:dyDescent="0.3">
      <c r="C54" s="197"/>
      <c r="F54" s="197"/>
    </row>
    <row r="55" spans="3:6" x14ac:dyDescent="0.3">
      <c r="C55" s="197"/>
      <c r="F55" s="197"/>
    </row>
    <row r="56" spans="3:6" x14ac:dyDescent="0.3">
      <c r="C56" s="197"/>
      <c r="F56" s="197"/>
    </row>
    <row r="57" spans="3:6" x14ac:dyDescent="0.3">
      <c r="C57" s="197"/>
      <c r="F57" s="197"/>
    </row>
    <row r="58" spans="3:6" x14ac:dyDescent="0.3">
      <c r="C58" s="197"/>
      <c r="F58" s="197"/>
    </row>
    <row r="59" spans="3:6" x14ac:dyDescent="0.3">
      <c r="C59" s="197"/>
      <c r="F59" s="197"/>
    </row>
    <row r="60" spans="3:6" x14ac:dyDescent="0.3">
      <c r="C60" s="197"/>
      <c r="F60" s="197"/>
    </row>
    <row r="61" spans="3:6" x14ac:dyDescent="0.3">
      <c r="C61" s="197"/>
      <c r="F61" s="197"/>
    </row>
    <row r="62" spans="3:6" x14ac:dyDescent="0.3">
      <c r="C62" s="197"/>
      <c r="F62" s="197"/>
    </row>
    <row r="63" spans="3:6" x14ac:dyDescent="0.3">
      <c r="C63" s="197"/>
      <c r="F63" s="197"/>
    </row>
    <row r="64" spans="3:6" x14ac:dyDescent="0.3">
      <c r="C64" s="197"/>
      <c r="F64" s="197"/>
    </row>
    <row r="65" spans="3:6" x14ac:dyDescent="0.3">
      <c r="C65" s="197"/>
      <c r="F65" s="197"/>
    </row>
    <row r="66" spans="3:6" x14ac:dyDescent="0.3">
      <c r="F66" s="197"/>
    </row>
  </sheetData>
  <sheetProtection algorithmName="SHA-512" hashValue="+Nn6F7DS4DycRnnVhpdoPiDj/cb9qe7DqKeXoRixuLLSQVqljMgoNr7iRiR+Afh1Lqo7hs0phJF9jm0EtzJrzQ==" saltValue="o7UEcQY+eoQz0dDZvd4lVA==" spinCount="100000" sheet="1" selectLockedCells="1" selectUnlockedCells="1"/>
  <customSheetViews>
    <customSheetView guid="{168849A9-FED9-4458-942F-290616B3A25C}" scale="60" showPageBreaks="1" showGridLines="0" printArea="1" hiddenRows="1">
      <selection activeCell="A3" sqref="A3:N3"/>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 KIP / IAS&amp;R&amp;G</oddHeader>
        <oddFooter>&amp;L&amp;A&amp;R&amp;P</oddFooter>
      </headerFooter>
    </customSheetView>
  </customSheetViews>
  <mergeCells count="18">
    <mergeCell ref="A3:Q3"/>
    <mergeCell ref="A1:Q1"/>
    <mergeCell ref="A5:A7"/>
    <mergeCell ref="B5:B7"/>
    <mergeCell ref="H5:L5"/>
    <mergeCell ref="M5:Q5"/>
    <mergeCell ref="C5:G5"/>
    <mergeCell ref="C6:G6"/>
    <mergeCell ref="W6:AA6"/>
    <mergeCell ref="AG6:AK6"/>
    <mergeCell ref="AG5:AK5"/>
    <mergeCell ref="H6:L6"/>
    <mergeCell ref="M6:Q6"/>
    <mergeCell ref="R6:V6"/>
    <mergeCell ref="R5:V5"/>
    <mergeCell ref="W5:AA5"/>
    <mergeCell ref="AB5:AF5"/>
    <mergeCell ref="AB6:AF6"/>
  </mergeCells>
  <pageMargins left="0.70866141732283472" right="0.70866141732283472" top="1.3779527559055118" bottom="0.78740157480314965" header="0.31496062992125984" footer="0.31496062992125984"/>
  <pageSetup paperSize="8" scale="95" orientation="landscape" horizontalDpi="90" verticalDpi="90" r:id="rId2"/>
  <headerFooter>
    <oddHeader>&amp;LKennzahlen KIP / IAS&amp;R&amp;G</oddHeader>
    <oddFooter>&amp;L&amp;A&amp;R&amp;P</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theme="7"/>
  </sheetPr>
  <dimension ref="A1:AF52"/>
  <sheetViews>
    <sheetView showGridLines="0" zoomScaleNormal="100" workbookViewId="0">
      <selection activeCell="AD47" sqref="AD47"/>
    </sheetView>
  </sheetViews>
  <sheetFormatPr baseColWidth="10" defaultRowHeight="14" x14ac:dyDescent="0.3"/>
  <cols>
    <col min="3" max="9" width="13.08203125" customWidth="1"/>
    <col min="10" max="10" width="13.08203125" hidden="1" customWidth="1"/>
    <col min="11" max="32" width="13.08203125" customWidth="1"/>
  </cols>
  <sheetData>
    <row r="1" spans="1:32" ht="30" x14ac:dyDescent="0.3">
      <c r="A1" s="539" t="s">
        <v>188</v>
      </c>
      <c r="B1" s="539"/>
      <c r="C1" s="539"/>
      <c r="D1" s="539"/>
      <c r="E1" s="539"/>
      <c r="F1" s="539"/>
      <c r="G1" s="539"/>
      <c r="H1" s="539"/>
      <c r="I1" s="539"/>
      <c r="J1" s="539"/>
      <c r="K1" s="539"/>
      <c r="L1" s="539"/>
      <c r="M1" s="539"/>
      <c r="N1" s="539"/>
      <c r="O1" s="539"/>
      <c r="P1" s="539"/>
      <c r="Q1" s="539"/>
    </row>
    <row r="3" spans="1:32" s="1" customFormat="1" ht="20.149999999999999" customHeight="1" x14ac:dyDescent="0.3">
      <c r="A3" s="536" t="s">
        <v>224</v>
      </c>
      <c r="B3" s="537"/>
      <c r="C3" s="537"/>
      <c r="D3" s="537"/>
      <c r="E3" s="537"/>
      <c r="F3" s="537"/>
      <c r="G3" s="537"/>
      <c r="H3" s="537"/>
      <c r="I3" s="537"/>
      <c r="J3" s="537"/>
      <c r="K3" s="537"/>
      <c r="L3" s="537"/>
      <c r="M3" s="537"/>
      <c r="N3" s="537"/>
      <c r="O3" s="537"/>
      <c r="P3" s="537"/>
      <c r="Q3" s="538"/>
    </row>
    <row r="4" spans="1:32" ht="14.5" thickBot="1" x14ac:dyDescent="0.35">
      <c r="F4" s="196"/>
      <c r="K4" s="196"/>
      <c r="P4" s="196"/>
      <c r="U4" s="196"/>
      <c r="Z4" s="196"/>
      <c r="AE4" s="196"/>
    </row>
    <row r="5" spans="1:32" s="1" customFormat="1" ht="14.5" thickBot="1" x14ac:dyDescent="0.35">
      <c r="A5" s="540" t="s">
        <v>0</v>
      </c>
      <c r="B5" s="543" t="s">
        <v>61</v>
      </c>
      <c r="C5" s="533" t="s">
        <v>114</v>
      </c>
      <c r="D5" s="534"/>
      <c r="E5" s="534"/>
      <c r="F5" s="534"/>
      <c r="G5" s="535"/>
      <c r="H5" s="533" t="s">
        <v>110</v>
      </c>
      <c r="I5" s="534"/>
      <c r="J5" s="534"/>
      <c r="K5" s="534"/>
      <c r="L5" s="535"/>
      <c r="M5" s="533" t="s">
        <v>119</v>
      </c>
      <c r="N5" s="534"/>
      <c r="O5" s="534"/>
      <c r="P5" s="534"/>
      <c r="Q5" s="535"/>
      <c r="R5" s="533" t="s">
        <v>111</v>
      </c>
      <c r="S5" s="534"/>
      <c r="T5" s="534"/>
      <c r="U5" s="534"/>
      <c r="V5" s="535"/>
      <c r="W5" s="533" t="s">
        <v>112</v>
      </c>
      <c r="X5" s="534"/>
      <c r="Y5" s="534"/>
      <c r="Z5" s="534"/>
      <c r="AA5" s="535"/>
      <c r="AB5" s="533" t="s">
        <v>113</v>
      </c>
      <c r="AC5" s="534"/>
      <c r="AD5" s="534"/>
      <c r="AE5" s="534"/>
      <c r="AF5" s="535"/>
    </row>
    <row r="6" spans="1:32" s="1" customFormat="1" ht="59.15" customHeight="1" x14ac:dyDescent="0.3">
      <c r="A6" s="541"/>
      <c r="B6" s="544"/>
      <c r="C6" s="530" t="s">
        <v>218</v>
      </c>
      <c r="D6" s="531"/>
      <c r="E6" s="531"/>
      <c r="F6" s="531"/>
      <c r="G6" s="532"/>
      <c r="H6" s="530" t="s">
        <v>219</v>
      </c>
      <c r="I6" s="531"/>
      <c r="J6" s="531"/>
      <c r="K6" s="531"/>
      <c r="L6" s="532"/>
      <c r="M6" s="530" t="s">
        <v>220</v>
      </c>
      <c r="N6" s="531"/>
      <c r="O6" s="531"/>
      <c r="P6" s="531"/>
      <c r="Q6" s="532"/>
      <c r="R6" s="530" t="s">
        <v>225</v>
      </c>
      <c r="S6" s="531"/>
      <c r="T6" s="531"/>
      <c r="U6" s="531"/>
      <c r="V6" s="532"/>
      <c r="W6" s="530" t="s">
        <v>222</v>
      </c>
      <c r="X6" s="531"/>
      <c r="Y6" s="531"/>
      <c r="Z6" s="531"/>
      <c r="AA6" s="532"/>
      <c r="AB6" s="530" t="s">
        <v>223</v>
      </c>
      <c r="AC6" s="531"/>
      <c r="AD6" s="531"/>
      <c r="AE6" s="531"/>
      <c r="AF6" s="532"/>
    </row>
    <row r="7" spans="1:32" s="1" customFormat="1" ht="14.15" customHeight="1" thickBot="1" x14ac:dyDescent="0.35">
      <c r="A7" s="542"/>
      <c r="B7" s="545"/>
      <c r="C7" s="335" t="s">
        <v>122</v>
      </c>
      <c r="D7" s="336" t="s">
        <v>59</v>
      </c>
      <c r="E7" s="336" t="s">
        <v>182</v>
      </c>
      <c r="F7" s="336" t="s">
        <v>47</v>
      </c>
      <c r="G7" s="337" t="s">
        <v>48</v>
      </c>
      <c r="H7" s="335" t="s">
        <v>122</v>
      </c>
      <c r="I7" s="336" t="s">
        <v>59</v>
      </c>
      <c r="J7" s="336" t="s">
        <v>182</v>
      </c>
      <c r="K7" s="336" t="s">
        <v>47</v>
      </c>
      <c r="L7" s="337" t="s">
        <v>48</v>
      </c>
      <c r="M7" s="335" t="s">
        <v>122</v>
      </c>
      <c r="N7" s="336" t="s">
        <v>59</v>
      </c>
      <c r="O7" s="336" t="s">
        <v>182</v>
      </c>
      <c r="P7" s="336" t="s">
        <v>47</v>
      </c>
      <c r="Q7" s="337" t="s">
        <v>48</v>
      </c>
      <c r="R7" s="335" t="s">
        <v>122</v>
      </c>
      <c r="S7" s="336" t="s">
        <v>59</v>
      </c>
      <c r="T7" s="336" t="s">
        <v>182</v>
      </c>
      <c r="U7" s="336" t="s">
        <v>47</v>
      </c>
      <c r="V7" s="337" t="s">
        <v>48</v>
      </c>
      <c r="W7" s="335" t="s">
        <v>122</v>
      </c>
      <c r="X7" s="336" t="s">
        <v>59</v>
      </c>
      <c r="Y7" s="336" t="s">
        <v>182</v>
      </c>
      <c r="Z7" s="336" t="s">
        <v>47</v>
      </c>
      <c r="AA7" s="337" t="s">
        <v>48</v>
      </c>
      <c r="AB7" s="335" t="s">
        <v>122</v>
      </c>
      <c r="AC7" s="336" t="s">
        <v>59</v>
      </c>
      <c r="AD7" s="336" t="s">
        <v>182</v>
      </c>
      <c r="AE7" s="336" t="s">
        <v>47</v>
      </c>
      <c r="AF7" s="337" t="s">
        <v>48</v>
      </c>
    </row>
    <row r="8" spans="1:32" ht="14.15" customHeight="1" x14ac:dyDescent="0.3">
      <c r="A8" s="201" t="s">
        <v>125</v>
      </c>
      <c r="B8" s="202">
        <v>44926</v>
      </c>
      <c r="C8" s="203">
        <v>14479</v>
      </c>
      <c r="D8" s="203">
        <v>9729</v>
      </c>
      <c r="E8" s="204">
        <v>44461</v>
      </c>
      <c r="F8" s="204">
        <v>10619</v>
      </c>
      <c r="G8" s="204">
        <v>13589</v>
      </c>
      <c r="H8" s="203">
        <v>2297</v>
      </c>
      <c r="I8" s="203">
        <v>1026</v>
      </c>
      <c r="J8" s="203"/>
      <c r="K8" s="203">
        <v>1659</v>
      </c>
      <c r="L8" s="203">
        <v>1664</v>
      </c>
      <c r="M8" s="203">
        <f>SUM(M9:M34)</f>
        <v>6071</v>
      </c>
      <c r="N8" s="203">
        <v>1940</v>
      </c>
      <c r="O8" s="203">
        <v>3054</v>
      </c>
      <c r="P8" s="203">
        <f>SUM(P9:P34)</f>
        <v>3927</v>
      </c>
      <c r="Q8" s="203">
        <f>SUM(Q9:Q34)</f>
        <v>4084</v>
      </c>
      <c r="R8" s="203">
        <v>2562</v>
      </c>
      <c r="S8" s="203">
        <v>4757</v>
      </c>
      <c r="T8" s="203">
        <v>7019</v>
      </c>
      <c r="U8" s="203">
        <v>1897</v>
      </c>
      <c r="V8" s="203">
        <v>5422</v>
      </c>
      <c r="W8" s="203">
        <v>11404</v>
      </c>
      <c r="X8" s="203">
        <v>4456</v>
      </c>
      <c r="Y8" s="203">
        <v>27016</v>
      </c>
      <c r="Z8" s="203">
        <v>8211</v>
      </c>
      <c r="AA8" s="203">
        <v>7649</v>
      </c>
      <c r="AB8" s="203">
        <v>16349</v>
      </c>
      <c r="AC8" s="203">
        <v>11266</v>
      </c>
      <c r="AD8" s="203">
        <v>45186</v>
      </c>
      <c r="AE8" s="203">
        <v>11815</v>
      </c>
      <c r="AF8" s="203">
        <v>15800</v>
      </c>
    </row>
    <row r="9" spans="1:32" ht="14.15" customHeight="1" x14ac:dyDescent="0.3">
      <c r="A9" s="148" t="s">
        <v>62</v>
      </c>
      <c r="B9" s="147">
        <v>44926</v>
      </c>
      <c r="C9" s="300">
        <v>1324</v>
      </c>
      <c r="D9" s="302">
        <v>776</v>
      </c>
      <c r="E9" s="302">
        <v>3340</v>
      </c>
      <c r="F9" s="143">
        <v>859</v>
      </c>
      <c r="G9" s="144">
        <v>1241</v>
      </c>
      <c r="H9" s="142">
        <v>234</v>
      </c>
      <c r="I9" s="143">
        <v>76</v>
      </c>
      <c r="J9" s="143"/>
      <c r="K9" s="143">
        <v>145</v>
      </c>
      <c r="L9" s="199">
        <v>165</v>
      </c>
      <c r="M9" s="142">
        <v>459</v>
      </c>
      <c r="N9" s="143">
        <v>91</v>
      </c>
      <c r="O9" s="143">
        <v>222</v>
      </c>
      <c r="P9" s="143">
        <v>298</v>
      </c>
      <c r="Q9" s="144">
        <v>252</v>
      </c>
      <c r="R9" s="300">
        <v>232</v>
      </c>
      <c r="S9" s="302">
        <v>422</v>
      </c>
      <c r="T9" s="302">
        <v>513</v>
      </c>
      <c r="U9" s="302">
        <v>153</v>
      </c>
      <c r="V9" s="303">
        <v>501</v>
      </c>
      <c r="W9" s="142">
        <v>1034</v>
      </c>
      <c r="X9" s="143">
        <v>316</v>
      </c>
      <c r="Y9" s="143">
        <v>2089</v>
      </c>
      <c r="Z9" s="143">
        <v>669</v>
      </c>
      <c r="AA9" s="144">
        <v>681</v>
      </c>
      <c r="AB9" s="300">
        <v>1496</v>
      </c>
      <c r="AC9" s="302">
        <v>922</v>
      </c>
      <c r="AD9" s="302">
        <v>3392</v>
      </c>
      <c r="AE9" s="302">
        <v>974</v>
      </c>
      <c r="AF9" s="303">
        <v>1444</v>
      </c>
    </row>
    <row r="10" spans="1:32" ht="14.15" customHeight="1" x14ac:dyDescent="0.3">
      <c r="A10" s="148" t="s">
        <v>60</v>
      </c>
      <c r="B10" s="147">
        <v>44926</v>
      </c>
      <c r="C10" s="301">
        <v>41</v>
      </c>
      <c r="D10" s="302">
        <v>22</v>
      </c>
      <c r="E10" s="302">
        <v>86</v>
      </c>
      <c r="F10" s="143">
        <v>21</v>
      </c>
      <c r="G10" s="144">
        <v>42</v>
      </c>
      <c r="H10" s="145">
        <v>3</v>
      </c>
      <c r="I10" s="143">
        <v>5</v>
      </c>
      <c r="J10" s="143"/>
      <c r="K10" s="143">
        <v>4</v>
      </c>
      <c r="L10" s="143">
        <v>4</v>
      </c>
      <c r="M10" s="145">
        <v>11</v>
      </c>
      <c r="N10" s="146">
        <v>1</v>
      </c>
      <c r="O10" s="143">
        <v>7</v>
      </c>
      <c r="P10" s="143">
        <v>7</v>
      </c>
      <c r="Q10" s="144">
        <v>5</v>
      </c>
      <c r="R10" s="301">
        <v>10</v>
      </c>
      <c r="S10" s="304">
        <v>12</v>
      </c>
      <c r="T10" s="304">
        <v>20</v>
      </c>
      <c r="U10" s="304">
        <v>5</v>
      </c>
      <c r="V10" s="303">
        <v>17</v>
      </c>
      <c r="W10" s="145">
        <v>30</v>
      </c>
      <c r="X10" s="146">
        <v>10</v>
      </c>
      <c r="Y10" s="146">
        <v>53</v>
      </c>
      <c r="Z10" s="146">
        <v>16</v>
      </c>
      <c r="AA10" s="144">
        <v>24</v>
      </c>
      <c r="AB10" s="301">
        <v>43</v>
      </c>
      <c r="AC10" s="304">
        <v>22</v>
      </c>
      <c r="AD10" s="304">
        <v>87</v>
      </c>
      <c r="AE10" s="304">
        <v>22</v>
      </c>
      <c r="AF10" s="303">
        <v>43</v>
      </c>
    </row>
    <row r="11" spans="1:32" ht="14.15" customHeight="1" x14ac:dyDescent="0.3">
      <c r="A11" s="148" t="s">
        <v>58</v>
      </c>
      <c r="B11" s="147">
        <v>44926</v>
      </c>
      <c r="C11" s="301">
        <v>115</v>
      </c>
      <c r="D11" s="302">
        <v>74</v>
      </c>
      <c r="E11" s="302">
        <v>304</v>
      </c>
      <c r="F11" s="143">
        <v>76</v>
      </c>
      <c r="G11" s="144">
        <v>113</v>
      </c>
      <c r="H11" s="145">
        <v>14</v>
      </c>
      <c r="I11" s="143">
        <v>8</v>
      </c>
      <c r="J11" s="143"/>
      <c r="K11" s="143">
        <v>11</v>
      </c>
      <c r="L11" s="143">
        <v>11</v>
      </c>
      <c r="M11" s="145">
        <v>55</v>
      </c>
      <c r="N11" s="146">
        <v>10</v>
      </c>
      <c r="O11" s="143">
        <v>28</v>
      </c>
      <c r="P11" s="143">
        <v>36</v>
      </c>
      <c r="Q11" s="144">
        <v>29</v>
      </c>
      <c r="R11" s="301">
        <v>20</v>
      </c>
      <c r="S11" s="304">
        <v>40</v>
      </c>
      <c r="T11" s="304">
        <v>50</v>
      </c>
      <c r="U11" s="304">
        <v>14</v>
      </c>
      <c r="V11" s="303">
        <v>46</v>
      </c>
      <c r="W11" s="145">
        <v>92</v>
      </c>
      <c r="X11" s="146">
        <v>30</v>
      </c>
      <c r="Y11" s="146">
        <v>182</v>
      </c>
      <c r="Z11" s="146">
        <v>60</v>
      </c>
      <c r="AA11" s="144">
        <v>62</v>
      </c>
      <c r="AB11" s="301">
        <v>136</v>
      </c>
      <c r="AC11" s="304">
        <v>82</v>
      </c>
      <c r="AD11" s="304">
        <v>311</v>
      </c>
      <c r="AE11" s="304">
        <v>83</v>
      </c>
      <c r="AF11" s="303">
        <v>135</v>
      </c>
    </row>
    <row r="12" spans="1:32" ht="14.15" customHeight="1" x14ac:dyDescent="0.3">
      <c r="A12" s="148" t="s">
        <v>63</v>
      </c>
      <c r="B12" s="147">
        <v>44926</v>
      </c>
      <c r="C12" s="301">
        <v>1887</v>
      </c>
      <c r="D12" s="302">
        <v>1244</v>
      </c>
      <c r="E12" s="302">
        <v>5083</v>
      </c>
      <c r="F12" s="143">
        <v>1370</v>
      </c>
      <c r="G12" s="144">
        <v>1761</v>
      </c>
      <c r="H12" s="145">
        <v>288</v>
      </c>
      <c r="I12" s="143">
        <v>141</v>
      </c>
      <c r="J12" s="143"/>
      <c r="K12" s="143">
        <v>218</v>
      </c>
      <c r="L12" s="143">
        <v>211</v>
      </c>
      <c r="M12" s="145">
        <v>883</v>
      </c>
      <c r="N12" s="146">
        <v>306</v>
      </c>
      <c r="O12" s="143">
        <v>360</v>
      </c>
      <c r="P12" s="143">
        <v>573</v>
      </c>
      <c r="Q12" s="144">
        <v>616</v>
      </c>
      <c r="R12" s="301">
        <v>281</v>
      </c>
      <c r="S12" s="304">
        <v>591</v>
      </c>
      <c r="T12" s="304">
        <v>815</v>
      </c>
      <c r="U12" s="304">
        <v>214</v>
      </c>
      <c r="V12" s="303">
        <v>658</v>
      </c>
      <c r="W12" s="145">
        <v>1530</v>
      </c>
      <c r="X12" s="146">
        <v>593</v>
      </c>
      <c r="Y12" s="146">
        <v>3098</v>
      </c>
      <c r="Z12" s="146">
        <v>1081</v>
      </c>
      <c r="AA12" s="144">
        <v>1042</v>
      </c>
      <c r="AB12" s="301">
        <v>2140</v>
      </c>
      <c r="AC12" s="304">
        <v>1438</v>
      </c>
      <c r="AD12" s="304">
        <v>5191</v>
      </c>
      <c r="AE12" s="304">
        <v>1534</v>
      </c>
      <c r="AF12" s="303">
        <v>2044</v>
      </c>
    </row>
    <row r="13" spans="1:32" ht="14.15" customHeight="1" x14ac:dyDescent="0.3">
      <c r="A13" s="148" t="s">
        <v>64</v>
      </c>
      <c r="B13" s="147">
        <v>44926</v>
      </c>
      <c r="C13" s="301">
        <v>328</v>
      </c>
      <c r="D13" s="302">
        <v>229</v>
      </c>
      <c r="E13" s="302">
        <v>1474</v>
      </c>
      <c r="F13" s="143">
        <v>251</v>
      </c>
      <c r="G13" s="144">
        <v>306</v>
      </c>
      <c r="H13" s="145">
        <v>60</v>
      </c>
      <c r="I13" s="146">
        <v>34</v>
      </c>
      <c r="J13" s="143"/>
      <c r="K13" s="143">
        <v>50</v>
      </c>
      <c r="L13" s="143">
        <v>44</v>
      </c>
      <c r="M13" s="145">
        <v>148</v>
      </c>
      <c r="N13" s="146">
        <v>46</v>
      </c>
      <c r="O13" s="143">
        <v>110</v>
      </c>
      <c r="P13" s="143">
        <v>104</v>
      </c>
      <c r="Q13" s="144">
        <v>90</v>
      </c>
      <c r="R13" s="301">
        <v>76</v>
      </c>
      <c r="S13" s="304">
        <v>138</v>
      </c>
      <c r="T13" s="304">
        <v>213</v>
      </c>
      <c r="U13" s="304">
        <v>57</v>
      </c>
      <c r="V13" s="303">
        <v>157</v>
      </c>
      <c r="W13" s="145">
        <v>241</v>
      </c>
      <c r="X13" s="146">
        <v>83</v>
      </c>
      <c r="Y13" s="146">
        <v>906</v>
      </c>
      <c r="Z13" s="146">
        <v>187</v>
      </c>
      <c r="AA13" s="144">
        <v>137</v>
      </c>
      <c r="AB13" s="301">
        <v>383</v>
      </c>
      <c r="AC13" s="304">
        <v>271</v>
      </c>
      <c r="AD13" s="304">
        <v>1504</v>
      </c>
      <c r="AE13" s="304">
        <v>275</v>
      </c>
      <c r="AF13" s="303">
        <v>379</v>
      </c>
    </row>
    <row r="14" spans="1:32" ht="14.15" customHeight="1" x14ac:dyDescent="0.3">
      <c r="A14" s="148" t="s">
        <v>65</v>
      </c>
      <c r="B14" s="147">
        <v>44926</v>
      </c>
      <c r="C14" s="301">
        <v>317</v>
      </c>
      <c r="D14" s="302">
        <v>164</v>
      </c>
      <c r="E14" s="302">
        <v>1227</v>
      </c>
      <c r="F14" s="143">
        <v>237</v>
      </c>
      <c r="G14" s="144">
        <v>244</v>
      </c>
      <c r="H14" s="145">
        <v>55</v>
      </c>
      <c r="I14" s="146">
        <v>29</v>
      </c>
      <c r="J14" s="143"/>
      <c r="K14" s="143">
        <v>44</v>
      </c>
      <c r="L14" s="143">
        <v>40</v>
      </c>
      <c r="M14" s="145">
        <v>115</v>
      </c>
      <c r="N14" s="146">
        <v>39</v>
      </c>
      <c r="O14" s="143">
        <v>69</v>
      </c>
      <c r="P14" s="143">
        <v>82</v>
      </c>
      <c r="Q14" s="144">
        <v>72</v>
      </c>
      <c r="R14" s="301">
        <v>63</v>
      </c>
      <c r="S14" s="304">
        <v>72</v>
      </c>
      <c r="T14" s="304">
        <v>202</v>
      </c>
      <c r="U14" s="304">
        <v>45</v>
      </c>
      <c r="V14" s="303">
        <v>90</v>
      </c>
      <c r="W14" s="145">
        <v>239</v>
      </c>
      <c r="X14" s="146">
        <v>72</v>
      </c>
      <c r="Y14" s="143">
        <v>717</v>
      </c>
      <c r="Z14" s="143">
        <v>172</v>
      </c>
      <c r="AA14" s="144">
        <v>139</v>
      </c>
      <c r="AB14" s="301">
        <v>348</v>
      </c>
      <c r="AC14" s="304">
        <v>195</v>
      </c>
      <c r="AD14" s="302">
        <v>1243</v>
      </c>
      <c r="AE14" s="302">
        <v>257</v>
      </c>
      <c r="AF14" s="303">
        <v>286</v>
      </c>
    </row>
    <row r="15" spans="1:32" ht="14.15" customHeight="1" x14ac:dyDescent="0.3">
      <c r="A15" s="148" t="s">
        <v>66</v>
      </c>
      <c r="B15" s="147">
        <v>44926</v>
      </c>
      <c r="C15" s="301">
        <v>480</v>
      </c>
      <c r="D15" s="302">
        <v>354</v>
      </c>
      <c r="E15" s="302">
        <v>1714</v>
      </c>
      <c r="F15" s="143">
        <v>374</v>
      </c>
      <c r="G15" s="144">
        <v>460</v>
      </c>
      <c r="H15" s="145">
        <v>93</v>
      </c>
      <c r="I15" s="146">
        <v>29</v>
      </c>
      <c r="J15" s="143"/>
      <c r="K15" s="143">
        <v>64</v>
      </c>
      <c r="L15" s="143">
        <v>58</v>
      </c>
      <c r="M15" s="145">
        <v>256</v>
      </c>
      <c r="N15" s="146">
        <v>53</v>
      </c>
      <c r="O15" s="143">
        <v>118</v>
      </c>
      <c r="P15" s="143">
        <v>148</v>
      </c>
      <c r="Q15" s="144">
        <v>161</v>
      </c>
      <c r="R15" s="301">
        <v>101</v>
      </c>
      <c r="S15" s="304">
        <v>170</v>
      </c>
      <c r="T15" s="302">
        <v>315</v>
      </c>
      <c r="U15" s="302">
        <v>65</v>
      </c>
      <c r="V15" s="303">
        <v>206</v>
      </c>
      <c r="W15" s="145">
        <v>359</v>
      </c>
      <c r="X15" s="146">
        <v>161</v>
      </c>
      <c r="Y15" s="143">
        <v>1014</v>
      </c>
      <c r="Z15" s="143">
        <v>289</v>
      </c>
      <c r="AA15" s="144">
        <v>231</v>
      </c>
      <c r="AB15" s="301">
        <v>547</v>
      </c>
      <c r="AC15" s="304">
        <v>411</v>
      </c>
      <c r="AD15" s="302">
        <v>1742</v>
      </c>
      <c r="AE15" s="302">
        <v>419</v>
      </c>
      <c r="AF15" s="303">
        <v>539</v>
      </c>
    </row>
    <row r="16" spans="1:32" ht="14.15" customHeight="1" x14ac:dyDescent="0.3">
      <c r="A16" s="148" t="s">
        <v>67</v>
      </c>
      <c r="B16" s="147">
        <v>44926</v>
      </c>
      <c r="C16" s="301">
        <v>1060</v>
      </c>
      <c r="D16" s="302">
        <v>707</v>
      </c>
      <c r="E16" s="302">
        <v>2940</v>
      </c>
      <c r="F16" s="143">
        <v>827</v>
      </c>
      <c r="G16" s="144">
        <v>940</v>
      </c>
      <c r="H16" s="145">
        <v>143</v>
      </c>
      <c r="I16" s="146">
        <v>73</v>
      </c>
      <c r="J16" s="143"/>
      <c r="K16" s="143">
        <v>101</v>
      </c>
      <c r="L16" s="143">
        <v>115</v>
      </c>
      <c r="M16" s="145">
        <v>412</v>
      </c>
      <c r="N16" s="146">
        <v>141</v>
      </c>
      <c r="O16" s="143">
        <v>197</v>
      </c>
      <c r="P16" s="143">
        <v>265</v>
      </c>
      <c r="Q16" s="144">
        <v>288</v>
      </c>
      <c r="R16" s="301">
        <v>184</v>
      </c>
      <c r="S16" s="304">
        <v>269</v>
      </c>
      <c r="T16" s="302">
        <v>402</v>
      </c>
      <c r="U16" s="302">
        <v>142</v>
      </c>
      <c r="V16" s="303">
        <v>311</v>
      </c>
      <c r="W16" s="145">
        <v>832</v>
      </c>
      <c r="X16" s="146">
        <v>381</v>
      </c>
      <c r="Y16" s="143">
        <v>1740</v>
      </c>
      <c r="Z16" s="143">
        <v>633</v>
      </c>
      <c r="AA16" s="144">
        <v>580</v>
      </c>
      <c r="AB16" s="301">
        <v>1190</v>
      </c>
      <c r="AC16" s="304">
        <v>825</v>
      </c>
      <c r="AD16" s="302">
        <v>2985</v>
      </c>
      <c r="AE16" s="302">
        <v>915</v>
      </c>
      <c r="AF16" s="303">
        <v>1100</v>
      </c>
    </row>
    <row r="17" spans="1:32" ht="14.15" customHeight="1" x14ac:dyDescent="0.3">
      <c r="A17" s="148" t="s">
        <v>38</v>
      </c>
      <c r="B17" s="147">
        <v>44926</v>
      </c>
      <c r="C17" s="301">
        <v>75</v>
      </c>
      <c r="D17" s="302">
        <v>75</v>
      </c>
      <c r="E17" s="302">
        <v>213</v>
      </c>
      <c r="F17" s="143">
        <v>57</v>
      </c>
      <c r="G17" s="144">
        <v>93</v>
      </c>
      <c r="H17" s="145">
        <v>11</v>
      </c>
      <c r="I17" s="146">
        <v>9</v>
      </c>
      <c r="J17" s="143"/>
      <c r="K17" s="143">
        <v>10</v>
      </c>
      <c r="L17" s="143">
        <v>10</v>
      </c>
      <c r="M17" s="145">
        <v>30</v>
      </c>
      <c r="N17" s="146">
        <v>12</v>
      </c>
      <c r="O17" s="143">
        <v>21</v>
      </c>
      <c r="P17" s="143">
        <v>21</v>
      </c>
      <c r="Q17" s="144">
        <v>21</v>
      </c>
      <c r="R17" s="301">
        <v>10</v>
      </c>
      <c r="S17" s="304">
        <v>41</v>
      </c>
      <c r="T17" s="302">
        <v>35</v>
      </c>
      <c r="U17" s="302">
        <v>9</v>
      </c>
      <c r="V17" s="303">
        <v>42</v>
      </c>
      <c r="W17" s="145">
        <v>63</v>
      </c>
      <c r="X17" s="146">
        <v>33</v>
      </c>
      <c r="Y17" s="143">
        <v>131</v>
      </c>
      <c r="Z17" s="143">
        <v>46</v>
      </c>
      <c r="AA17" s="144">
        <v>50</v>
      </c>
      <c r="AB17" s="301">
        <v>85</v>
      </c>
      <c r="AC17" s="304">
        <v>79</v>
      </c>
      <c r="AD17" s="302">
        <v>214</v>
      </c>
      <c r="AE17" s="302">
        <v>63</v>
      </c>
      <c r="AF17" s="303">
        <v>101</v>
      </c>
    </row>
    <row r="18" spans="1:32" ht="14.15" customHeight="1" x14ac:dyDescent="0.3">
      <c r="A18" s="148" t="s">
        <v>68</v>
      </c>
      <c r="B18" s="147">
        <v>44926</v>
      </c>
      <c r="C18" s="301">
        <v>396</v>
      </c>
      <c r="D18" s="302">
        <v>241</v>
      </c>
      <c r="E18" s="302">
        <v>922</v>
      </c>
      <c r="F18" s="143">
        <v>256</v>
      </c>
      <c r="G18" s="144">
        <v>381</v>
      </c>
      <c r="H18" s="145">
        <v>52</v>
      </c>
      <c r="I18" s="146">
        <v>17</v>
      </c>
      <c r="J18" s="143"/>
      <c r="K18" s="143">
        <v>34</v>
      </c>
      <c r="L18" s="143">
        <v>35</v>
      </c>
      <c r="M18" s="145">
        <v>145</v>
      </c>
      <c r="N18" s="146">
        <v>29</v>
      </c>
      <c r="O18" s="143">
        <v>89</v>
      </c>
      <c r="P18" s="143">
        <v>90</v>
      </c>
      <c r="Q18" s="144">
        <v>84</v>
      </c>
      <c r="R18" s="301">
        <v>72</v>
      </c>
      <c r="S18" s="304">
        <v>128</v>
      </c>
      <c r="T18" s="302">
        <v>129</v>
      </c>
      <c r="U18" s="302">
        <v>47</v>
      </c>
      <c r="V18" s="303">
        <v>153</v>
      </c>
      <c r="W18" s="145">
        <v>309</v>
      </c>
      <c r="X18" s="146">
        <v>103</v>
      </c>
      <c r="Y18" s="143">
        <v>575</v>
      </c>
      <c r="Z18" s="143">
        <v>197</v>
      </c>
      <c r="AA18" s="144">
        <v>215</v>
      </c>
      <c r="AB18" s="301">
        <v>449</v>
      </c>
      <c r="AC18" s="304">
        <v>289</v>
      </c>
      <c r="AD18" s="302">
        <v>933</v>
      </c>
      <c r="AE18" s="302">
        <v>288</v>
      </c>
      <c r="AF18" s="303">
        <v>450</v>
      </c>
    </row>
    <row r="19" spans="1:32" ht="14.15" customHeight="1" x14ac:dyDescent="0.3">
      <c r="A19" s="148" t="s">
        <v>69</v>
      </c>
      <c r="B19" s="147">
        <v>44926</v>
      </c>
      <c r="C19" s="301">
        <v>198</v>
      </c>
      <c r="D19" s="302">
        <v>114</v>
      </c>
      <c r="E19" s="302">
        <v>390</v>
      </c>
      <c r="F19" s="143">
        <v>142</v>
      </c>
      <c r="G19" s="144">
        <v>170</v>
      </c>
      <c r="H19" s="145">
        <v>30</v>
      </c>
      <c r="I19" s="146">
        <v>6</v>
      </c>
      <c r="J19" s="143"/>
      <c r="K19" s="143">
        <v>19</v>
      </c>
      <c r="L19" s="143">
        <v>17</v>
      </c>
      <c r="M19" s="145">
        <v>93</v>
      </c>
      <c r="N19" s="146">
        <v>15</v>
      </c>
      <c r="O19" s="143">
        <v>25</v>
      </c>
      <c r="P19" s="143">
        <v>50</v>
      </c>
      <c r="Q19" s="144">
        <v>58</v>
      </c>
      <c r="R19" s="301">
        <v>28</v>
      </c>
      <c r="S19" s="304">
        <v>59</v>
      </c>
      <c r="T19" s="302">
        <v>55</v>
      </c>
      <c r="U19" s="302">
        <v>21</v>
      </c>
      <c r="V19" s="303">
        <v>66</v>
      </c>
      <c r="W19" s="145">
        <v>166</v>
      </c>
      <c r="X19" s="146">
        <v>50</v>
      </c>
      <c r="Y19" s="143">
        <v>234</v>
      </c>
      <c r="Z19" s="143">
        <v>115</v>
      </c>
      <c r="AA19" s="144">
        <v>101</v>
      </c>
      <c r="AB19" s="301">
        <v>229</v>
      </c>
      <c r="AC19" s="304">
        <v>129</v>
      </c>
      <c r="AD19" s="302">
        <v>399</v>
      </c>
      <c r="AE19" s="302">
        <v>158</v>
      </c>
      <c r="AF19" s="303">
        <v>200</v>
      </c>
    </row>
    <row r="20" spans="1:32" ht="14.15" customHeight="1" x14ac:dyDescent="0.3">
      <c r="A20" s="148" t="s">
        <v>70</v>
      </c>
      <c r="B20" s="147">
        <v>44926</v>
      </c>
      <c r="C20" s="301">
        <v>754</v>
      </c>
      <c r="D20" s="302">
        <v>516</v>
      </c>
      <c r="E20" s="302">
        <v>2137</v>
      </c>
      <c r="F20" s="143">
        <v>533</v>
      </c>
      <c r="G20" s="144">
        <v>737</v>
      </c>
      <c r="H20" s="145">
        <v>133</v>
      </c>
      <c r="I20" s="146">
        <v>60</v>
      </c>
      <c r="J20" s="143"/>
      <c r="K20" s="143">
        <v>91</v>
      </c>
      <c r="L20" s="143">
        <v>102</v>
      </c>
      <c r="M20" s="145">
        <v>320</v>
      </c>
      <c r="N20" s="146">
        <v>103</v>
      </c>
      <c r="O20" s="143">
        <v>143</v>
      </c>
      <c r="P20" s="143">
        <v>194</v>
      </c>
      <c r="Q20" s="144">
        <v>229</v>
      </c>
      <c r="R20" s="301">
        <v>128</v>
      </c>
      <c r="S20" s="304">
        <v>261</v>
      </c>
      <c r="T20" s="302">
        <v>357</v>
      </c>
      <c r="U20" s="302">
        <v>105</v>
      </c>
      <c r="V20" s="303">
        <v>284</v>
      </c>
      <c r="W20" s="145">
        <v>605</v>
      </c>
      <c r="X20" s="146">
        <v>233</v>
      </c>
      <c r="Y20" s="143">
        <v>1344</v>
      </c>
      <c r="Z20" s="143">
        <v>407</v>
      </c>
      <c r="AA20" s="144">
        <v>431</v>
      </c>
      <c r="AB20" s="301">
        <v>851</v>
      </c>
      <c r="AC20" s="304">
        <v>600</v>
      </c>
      <c r="AD20" s="302">
        <v>2163</v>
      </c>
      <c r="AE20" s="302">
        <v>591</v>
      </c>
      <c r="AF20" s="303">
        <v>860</v>
      </c>
    </row>
    <row r="21" spans="1:32" ht="14.15" customHeight="1" x14ac:dyDescent="0.3">
      <c r="A21" s="148" t="s">
        <v>71</v>
      </c>
      <c r="B21" s="147">
        <v>44926</v>
      </c>
      <c r="C21" s="301">
        <v>296</v>
      </c>
      <c r="D21" s="302">
        <v>181</v>
      </c>
      <c r="E21" s="302">
        <v>871</v>
      </c>
      <c r="F21" s="143">
        <v>229</v>
      </c>
      <c r="G21" s="144">
        <v>248</v>
      </c>
      <c r="H21" s="145">
        <v>41</v>
      </c>
      <c r="I21" s="146">
        <v>28</v>
      </c>
      <c r="J21" s="143"/>
      <c r="K21" s="143">
        <v>36</v>
      </c>
      <c r="L21" s="143">
        <v>33</v>
      </c>
      <c r="M21" s="145">
        <v>169</v>
      </c>
      <c r="N21" s="146">
        <v>42</v>
      </c>
      <c r="O21" s="143">
        <v>52</v>
      </c>
      <c r="P21" s="143">
        <v>103</v>
      </c>
      <c r="Q21" s="144">
        <v>108</v>
      </c>
      <c r="R21" s="301">
        <v>61</v>
      </c>
      <c r="S21" s="304">
        <v>86</v>
      </c>
      <c r="T21" s="302">
        <v>132</v>
      </c>
      <c r="U21" s="302">
        <v>37</v>
      </c>
      <c r="V21" s="303">
        <v>110</v>
      </c>
      <c r="W21" s="145">
        <v>227</v>
      </c>
      <c r="X21" s="146">
        <v>81</v>
      </c>
      <c r="Y21" s="143">
        <v>565</v>
      </c>
      <c r="Z21" s="143">
        <v>180</v>
      </c>
      <c r="AA21" s="144">
        <v>128</v>
      </c>
      <c r="AB21" s="301">
        <v>340</v>
      </c>
      <c r="AC21" s="304">
        <v>217</v>
      </c>
      <c r="AD21" s="302">
        <v>890</v>
      </c>
      <c r="AE21" s="302">
        <v>257</v>
      </c>
      <c r="AF21" s="303">
        <v>300</v>
      </c>
    </row>
    <row r="22" spans="1:32" ht="14.15" customHeight="1" x14ac:dyDescent="0.3">
      <c r="A22" s="148" t="s">
        <v>72</v>
      </c>
      <c r="B22" s="147">
        <v>44926</v>
      </c>
      <c r="C22" s="301">
        <v>92</v>
      </c>
      <c r="D22" s="302">
        <v>71</v>
      </c>
      <c r="E22" s="302">
        <v>214</v>
      </c>
      <c r="F22" s="143">
        <v>67</v>
      </c>
      <c r="G22" s="144">
        <v>96</v>
      </c>
      <c r="H22" s="145">
        <v>16</v>
      </c>
      <c r="I22" s="146">
        <v>8</v>
      </c>
      <c r="J22" s="143"/>
      <c r="K22" s="143">
        <v>10</v>
      </c>
      <c r="L22" s="143">
        <v>14</v>
      </c>
      <c r="M22" s="145">
        <v>36</v>
      </c>
      <c r="N22" s="146">
        <v>9</v>
      </c>
      <c r="O22" s="143">
        <v>11</v>
      </c>
      <c r="P22" s="143">
        <v>17</v>
      </c>
      <c r="Q22" s="144">
        <v>28</v>
      </c>
      <c r="R22" s="301">
        <v>15</v>
      </c>
      <c r="S22" s="304">
        <v>39</v>
      </c>
      <c r="T22" s="302">
        <v>30</v>
      </c>
      <c r="U22" s="302">
        <v>15</v>
      </c>
      <c r="V22" s="303">
        <v>39</v>
      </c>
      <c r="W22" s="145">
        <v>73</v>
      </c>
      <c r="X22" s="146">
        <v>30</v>
      </c>
      <c r="Y22" s="143">
        <v>130</v>
      </c>
      <c r="Z22" s="143">
        <v>49</v>
      </c>
      <c r="AA22" s="144">
        <v>54</v>
      </c>
      <c r="AB22" s="301">
        <v>102</v>
      </c>
      <c r="AC22" s="304">
        <v>79</v>
      </c>
      <c r="AD22" s="302">
        <v>217</v>
      </c>
      <c r="AE22" s="302">
        <v>72</v>
      </c>
      <c r="AF22" s="303">
        <v>109</v>
      </c>
    </row>
    <row r="23" spans="1:32" ht="14.15" customHeight="1" x14ac:dyDescent="0.3">
      <c r="A23" s="148" t="s">
        <v>73</v>
      </c>
      <c r="B23" s="147">
        <v>44926</v>
      </c>
      <c r="C23" s="301">
        <v>32</v>
      </c>
      <c r="D23" s="302">
        <v>33</v>
      </c>
      <c r="E23" s="302">
        <v>174</v>
      </c>
      <c r="F23" s="143">
        <v>32</v>
      </c>
      <c r="G23" s="144">
        <v>33</v>
      </c>
      <c r="H23" s="145">
        <v>3</v>
      </c>
      <c r="I23" s="146">
        <v>3</v>
      </c>
      <c r="J23" s="143"/>
      <c r="K23" s="143">
        <v>5</v>
      </c>
      <c r="L23" s="143">
        <v>1</v>
      </c>
      <c r="M23" s="145">
        <v>28</v>
      </c>
      <c r="N23" s="146">
        <v>5</v>
      </c>
      <c r="O23" s="143">
        <v>19</v>
      </c>
      <c r="P23" s="143">
        <v>17</v>
      </c>
      <c r="Q23" s="144">
        <v>16</v>
      </c>
      <c r="R23" s="301">
        <v>3</v>
      </c>
      <c r="S23" s="304">
        <v>14</v>
      </c>
      <c r="T23" s="302">
        <v>33</v>
      </c>
      <c r="U23" s="302">
        <v>5</v>
      </c>
      <c r="V23" s="303">
        <v>12</v>
      </c>
      <c r="W23" s="145">
        <v>27</v>
      </c>
      <c r="X23" s="146">
        <v>17</v>
      </c>
      <c r="Y23" s="143">
        <v>110</v>
      </c>
      <c r="Z23" s="143">
        <v>24</v>
      </c>
      <c r="AA23" s="144">
        <v>20</v>
      </c>
      <c r="AB23" s="301">
        <v>37</v>
      </c>
      <c r="AC23" s="304">
        <v>34</v>
      </c>
      <c r="AD23" s="302">
        <v>177</v>
      </c>
      <c r="AE23" s="302">
        <v>35</v>
      </c>
      <c r="AF23" s="303">
        <v>36</v>
      </c>
    </row>
    <row r="24" spans="1:32" ht="14.15" customHeight="1" x14ac:dyDescent="0.3">
      <c r="A24" s="148" t="s">
        <v>74</v>
      </c>
      <c r="B24" s="147">
        <v>44926</v>
      </c>
      <c r="C24" s="301">
        <v>775</v>
      </c>
      <c r="D24" s="302">
        <v>589</v>
      </c>
      <c r="E24" s="302">
        <v>2709</v>
      </c>
      <c r="F24" s="143">
        <v>593</v>
      </c>
      <c r="G24" s="144">
        <v>771</v>
      </c>
      <c r="H24" s="145">
        <v>120</v>
      </c>
      <c r="I24" s="146">
        <v>54</v>
      </c>
      <c r="J24" s="143"/>
      <c r="K24" s="143">
        <v>88</v>
      </c>
      <c r="L24" s="143">
        <v>86</v>
      </c>
      <c r="M24" s="145">
        <v>349</v>
      </c>
      <c r="N24" s="146">
        <v>107</v>
      </c>
      <c r="O24" s="143">
        <v>187</v>
      </c>
      <c r="P24" s="143">
        <v>211</v>
      </c>
      <c r="Q24" s="144">
        <v>245</v>
      </c>
      <c r="R24" s="301">
        <v>133</v>
      </c>
      <c r="S24" s="304">
        <v>283</v>
      </c>
      <c r="T24" s="302">
        <v>460</v>
      </c>
      <c r="U24" s="302">
        <v>111</v>
      </c>
      <c r="V24" s="303">
        <v>305</v>
      </c>
      <c r="W24" s="145">
        <v>615</v>
      </c>
      <c r="X24" s="146">
        <v>280</v>
      </c>
      <c r="Y24" s="143">
        <v>1639</v>
      </c>
      <c r="Z24" s="143">
        <v>456</v>
      </c>
      <c r="AA24" s="144">
        <v>439</v>
      </c>
      <c r="AB24" s="301">
        <v>868</v>
      </c>
      <c r="AC24" s="304">
        <v>684</v>
      </c>
      <c r="AD24" s="302">
        <v>2758</v>
      </c>
      <c r="AE24" s="302">
        <v>665</v>
      </c>
      <c r="AF24" s="303">
        <v>887</v>
      </c>
    </row>
    <row r="25" spans="1:32" ht="14.15" customHeight="1" x14ac:dyDescent="0.3">
      <c r="A25" s="148" t="s">
        <v>75</v>
      </c>
      <c r="B25" s="147">
        <v>44926</v>
      </c>
      <c r="C25" s="301">
        <v>203</v>
      </c>
      <c r="D25" s="302">
        <v>137</v>
      </c>
      <c r="E25" s="302">
        <v>466</v>
      </c>
      <c r="F25" s="143">
        <v>151</v>
      </c>
      <c r="G25" s="144">
        <v>189</v>
      </c>
      <c r="H25" s="145">
        <v>30</v>
      </c>
      <c r="I25" s="146">
        <v>9</v>
      </c>
      <c r="J25" s="143"/>
      <c r="K25" s="143">
        <v>21</v>
      </c>
      <c r="L25" s="143">
        <v>18</v>
      </c>
      <c r="M25" s="145">
        <v>70</v>
      </c>
      <c r="N25" s="146">
        <v>12</v>
      </c>
      <c r="O25" s="143">
        <v>31</v>
      </c>
      <c r="P25" s="143">
        <v>40</v>
      </c>
      <c r="Q25" s="144">
        <v>42</v>
      </c>
      <c r="R25" s="301">
        <v>52</v>
      </c>
      <c r="S25" s="304">
        <v>72</v>
      </c>
      <c r="T25" s="302">
        <v>61</v>
      </c>
      <c r="U25" s="302">
        <v>39</v>
      </c>
      <c r="V25" s="303">
        <v>85</v>
      </c>
      <c r="W25" s="145">
        <v>143</v>
      </c>
      <c r="X25" s="146">
        <v>56</v>
      </c>
      <c r="Y25" s="143">
        <v>293</v>
      </c>
      <c r="Z25" s="143">
        <v>101</v>
      </c>
      <c r="AA25" s="144">
        <v>98</v>
      </c>
      <c r="AB25" s="301">
        <v>227</v>
      </c>
      <c r="AC25" s="304">
        <v>149</v>
      </c>
      <c r="AD25" s="302">
        <v>473</v>
      </c>
      <c r="AE25" s="302">
        <v>163</v>
      </c>
      <c r="AF25" s="303">
        <v>213</v>
      </c>
    </row>
    <row r="26" spans="1:32" ht="14.15" customHeight="1" x14ac:dyDescent="0.3">
      <c r="A26" s="148" t="s">
        <v>76</v>
      </c>
      <c r="B26" s="147">
        <v>44926</v>
      </c>
      <c r="C26" s="301">
        <v>504</v>
      </c>
      <c r="D26" s="302">
        <v>318</v>
      </c>
      <c r="E26" s="302">
        <v>1397</v>
      </c>
      <c r="F26" s="143">
        <v>370</v>
      </c>
      <c r="G26" s="144">
        <v>452</v>
      </c>
      <c r="H26" s="145">
        <v>95</v>
      </c>
      <c r="I26" s="146">
        <v>21</v>
      </c>
      <c r="J26" s="143"/>
      <c r="K26" s="143">
        <v>62</v>
      </c>
      <c r="L26" s="143">
        <v>54</v>
      </c>
      <c r="M26" s="145">
        <v>258</v>
      </c>
      <c r="N26" s="146">
        <v>60</v>
      </c>
      <c r="O26" s="143">
        <v>94</v>
      </c>
      <c r="P26" s="143">
        <v>165</v>
      </c>
      <c r="Q26" s="144">
        <v>153</v>
      </c>
      <c r="R26" s="301">
        <v>102</v>
      </c>
      <c r="S26" s="304">
        <v>161</v>
      </c>
      <c r="T26" s="302">
        <v>216</v>
      </c>
      <c r="U26" s="302">
        <v>76</v>
      </c>
      <c r="V26" s="303">
        <v>187</v>
      </c>
      <c r="W26" s="145">
        <v>383</v>
      </c>
      <c r="X26" s="146">
        <v>147</v>
      </c>
      <c r="Y26" s="143">
        <v>865</v>
      </c>
      <c r="Z26" s="143">
        <v>279</v>
      </c>
      <c r="AA26" s="144">
        <v>251</v>
      </c>
      <c r="AB26" s="301">
        <v>586</v>
      </c>
      <c r="AC26" s="304">
        <v>365</v>
      </c>
      <c r="AD26" s="302">
        <v>1420</v>
      </c>
      <c r="AE26" s="302">
        <v>418</v>
      </c>
      <c r="AF26" s="303">
        <v>533</v>
      </c>
    </row>
    <row r="27" spans="1:32" ht="14.15" customHeight="1" x14ac:dyDescent="0.3">
      <c r="A27" s="148" t="s">
        <v>77</v>
      </c>
      <c r="B27" s="147">
        <v>44926</v>
      </c>
      <c r="C27" s="301">
        <v>375</v>
      </c>
      <c r="D27" s="302">
        <v>269</v>
      </c>
      <c r="E27" s="302">
        <v>824</v>
      </c>
      <c r="F27" s="143">
        <v>262</v>
      </c>
      <c r="G27" s="144">
        <v>382</v>
      </c>
      <c r="H27" s="145">
        <v>50</v>
      </c>
      <c r="I27" s="146">
        <v>26</v>
      </c>
      <c r="J27" s="143"/>
      <c r="K27" s="143">
        <v>36</v>
      </c>
      <c r="L27" s="143">
        <v>40</v>
      </c>
      <c r="M27" s="145">
        <v>112</v>
      </c>
      <c r="N27" s="146">
        <v>49</v>
      </c>
      <c r="O27" s="143">
        <v>60</v>
      </c>
      <c r="P27" s="143">
        <v>74</v>
      </c>
      <c r="Q27" s="144">
        <v>87</v>
      </c>
      <c r="R27" s="301">
        <v>76</v>
      </c>
      <c r="S27" s="304">
        <v>163</v>
      </c>
      <c r="T27" s="302">
        <v>121</v>
      </c>
      <c r="U27" s="302">
        <v>54</v>
      </c>
      <c r="V27" s="303">
        <v>185</v>
      </c>
      <c r="W27" s="145">
        <v>290</v>
      </c>
      <c r="X27" s="146">
        <v>98</v>
      </c>
      <c r="Y27" s="143">
        <v>466</v>
      </c>
      <c r="Z27" s="143">
        <v>202</v>
      </c>
      <c r="AA27" s="144">
        <v>186</v>
      </c>
      <c r="AB27" s="301">
        <v>424</v>
      </c>
      <c r="AC27" s="304">
        <v>319</v>
      </c>
      <c r="AD27" s="302">
        <v>833</v>
      </c>
      <c r="AE27" s="302">
        <v>297</v>
      </c>
      <c r="AF27" s="303">
        <v>446</v>
      </c>
    </row>
    <row r="28" spans="1:32" ht="14.15" customHeight="1" x14ac:dyDescent="0.3">
      <c r="A28" s="148" t="s">
        <v>78</v>
      </c>
      <c r="B28" s="147">
        <v>44926</v>
      </c>
      <c r="C28" s="301">
        <v>241</v>
      </c>
      <c r="D28" s="302">
        <v>228</v>
      </c>
      <c r="E28" s="302">
        <v>1239</v>
      </c>
      <c r="F28" s="143">
        <v>177</v>
      </c>
      <c r="G28" s="144">
        <v>292</v>
      </c>
      <c r="H28" s="145">
        <v>46</v>
      </c>
      <c r="I28" s="146">
        <v>34</v>
      </c>
      <c r="J28" s="143"/>
      <c r="K28" s="143">
        <v>33</v>
      </c>
      <c r="L28" s="143">
        <v>47</v>
      </c>
      <c r="M28" s="145">
        <v>82</v>
      </c>
      <c r="N28" s="146">
        <v>35</v>
      </c>
      <c r="O28" s="143">
        <v>98</v>
      </c>
      <c r="P28" s="143">
        <v>56</v>
      </c>
      <c r="Q28" s="144">
        <v>61</v>
      </c>
      <c r="R28" s="301">
        <v>47</v>
      </c>
      <c r="S28" s="304">
        <v>119</v>
      </c>
      <c r="T28" s="302">
        <v>171</v>
      </c>
      <c r="U28" s="302">
        <v>30</v>
      </c>
      <c r="V28" s="303">
        <v>136</v>
      </c>
      <c r="W28" s="145">
        <v>182</v>
      </c>
      <c r="X28" s="146">
        <v>103</v>
      </c>
      <c r="Y28" s="143">
        <v>782</v>
      </c>
      <c r="Z28" s="143">
        <v>140</v>
      </c>
      <c r="AA28" s="144">
        <v>145</v>
      </c>
      <c r="AB28" s="301">
        <v>259</v>
      </c>
      <c r="AC28" s="304">
        <v>270</v>
      </c>
      <c r="AD28" s="302">
        <v>1279</v>
      </c>
      <c r="AE28" s="302">
        <v>196</v>
      </c>
      <c r="AF28" s="303">
        <v>333</v>
      </c>
    </row>
    <row r="29" spans="1:32" ht="14.15" customHeight="1" x14ac:dyDescent="0.3">
      <c r="A29" s="148" t="s">
        <v>79</v>
      </c>
      <c r="B29" s="147">
        <v>44926</v>
      </c>
      <c r="C29" s="301">
        <v>397</v>
      </c>
      <c r="D29" s="302">
        <v>289</v>
      </c>
      <c r="E29" s="302">
        <v>1897</v>
      </c>
      <c r="F29" s="143">
        <v>299</v>
      </c>
      <c r="G29" s="144">
        <v>387</v>
      </c>
      <c r="H29" s="145">
        <v>81</v>
      </c>
      <c r="I29" s="146">
        <v>49</v>
      </c>
      <c r="J29" s="143"/>
      <c r="K29" s="143">
        <v>64</v>
      </c>
      <c r="L29" s="143">
        <v>66</v>
      </c>
      <c r="M29" s="145">
        <v>138</v>
      </c>
      <c r="N29" s="146">
        <v>51</v>
      </c>
      <c r="O29" s="143">
        <v>157</v>
      </c>
      <c r="P29" s="143">
        <v>98</v>
      </c>
      <c r="Q29" s="144">
        <v>91</v>
      </c>
      <c r="R29" s="301">
        <v>75</v>
      </c>
      <c r="S29" s="304">
        <v>147</v>
      </c>
      <c r="T29" s="302">
        <v>257</v>
      </c>
      <c r="U29" s="302">
        <v>56</v>
      </c>
      <c r="V29" s="303">
        <v>166</v>
      </c>
      <c r="W29" s="145">
        <v>306</v>
      </c>
      <c r="X29" s="146">
        <v>128</v>
      </c>
      <c r="Y29" s="143">
        <v>1115</v>
      </c>
      <c r="Z29" s="143">
        <v>231</v>
      </c>
      <c r="AA29" s="144">
        <v>203</v>
      </c>
      <c r="AB29" s="301">
        <v>462</v>
      </c>
      <c r="AC29" s="304">
        <v>336</v>
      </c>
      <c r="AD29" s="302">
        <v>1922</v>
      </c>
      <c r="AE29" s="302">
        <v>337</v>
      </c>
      <c r="AF29" s="303">
        <v>461</v>
      </c>
    </row>
    <row r="30" spans="1:32" ht="14.15" customHeight="1" x14ac:dyDescent="0.3">
      <c r="A30" s="148" t="s">
        <v>80</v>
      </c>
      <c r="B30" s="147">
        <v>44926</v>
      </c>
      <c r="C30" s="301">
        <v>74</v>
      </c>
      <c r="D30" s="302">
        <v>61</v>
      </c>
      <c r="E30" s="302">
        <v>186</v>
      </c>
      <c r="F30" s="143">
        <v>47</v>
      </c>
      <c r="G30" s="144">
        <v>88</v>
      </c>
      <c r="H30" s="145">
        <v>12</v>
      </c>
      <c r="I30" s="146">
        <v>5</v>
      </c>
      <c r="J30" s="143"/>
      <c r="K30" s="143">
        <v>8</v>
      </c>
      <c r="L30" s="143">
        <v>9</v>
      </c>
      <c r="M30" s="145">
        <v>32</v>
      </c>
      <c r="N30" s="146">
        <v>11</v>
      </c>
      <c r="O30" s="143">
        <v>15</v>
      </c>
      <c r="P30" s="143">
        <v>20</v>
      </c>
      <c r="Q30" s="144">
        <v>23</v>
      </c>
      <c r="R30" s="301">
        <v>12</v>
      </c>
      <c r="S30" s="304">
        <v>37</v>
      </c>
      <c r="T30" s="302">
        <v>26</v>
      </c>
      <c r="U30" s="302">
        <v>10</v>
      </c>
      <c r="V30" s="303">
        <v>39</v>
      </c>
      <c r="W30" s="145">
        <v>60</v>
      </c>
      <c r="X30" s="146">
        <v>23</v>
      </c>
      <c r="Y30" s="143">
        <v>116</v>
      </c>
      <c r="Z30" s="143">
        <v>36</v>
      </c>
      <c r="AA30" s="144">
        <v>47</v>
      </c>
      <c r="AB30" s="301">
        <v>85</v>
      </c>
      <c r="AC30" s="304">
        <v>68</v>
      </c>
      <c r="AD30" s="302">
        <v>186</v>
      </c>
      <c r="AE30" s="302">
        <v>56</v>
      </c>
      <c r="AF30" s="303">
        <v>97</v>
      </c>
    </row>
    <row r="31" spans="1:32" ht="14.15" customHeight="1" x14ac:dyDescent="0.3">
      <c r="A31" s="148" t="s">
        <v>81</v>
      </c>
      <c r="B31" s="147">
        <v>44926</v>
      </c>
      <c r="C31" s="301">
        <v>1404</v>
      </c>
      <c r="D31" s="302">
        <v>922</v>
      </c>
      <c r="E31" s="302">
        <v>4229</v>
      </c>
      <c r="F31" s="143">
        <v>1072</v>
      </c>
      <c r="G31" s="144">
        <v>1254</v>
      </c>
      <c r="H31" s="145">
        <v>185</v>
      </c>
      <c r="I31" s="146">
        <v>93</v>
      </c>
      <c r="J31" s="143"/>
      <c r="K31" s="143">
        <v>155</v>
      </c>
      <c r="L31" s="143">
        <v>123</v>
      </c>
      <c r="M31" s="145">
        <v>626</v>
      </c>
      <c r="N31" s="146">
        <v>240</v>
      </c>
      <c r="O31" s="143">
        <v>325</v>
      </c>
      <c r="P31" s="143">
        <v>426</v>
      </c>
      <c r="Q31" s="144">
        <v>440</v>
      </c>
      <c r="R31" s="301">
        <v>251</v>
      </c>
      <c r="S31" s="304">
        <v>415</v>
      </c>
      <c r="T31" s="302">
        <v>664</v>
      </c>
      <c r="U31" s="302">
        <v>189</v>
      </c>
      <c r="V31" s="303">
        <v>477</v>
      </c>
      <c r="W31" s="145">
        <v>1116</v>
      </c>
      <c r="X31" s="146">
        <v>466</v>
      </c>
      <c r="Y31" s="143">
        <v>2510</v>
      </c>
      <c r="Z31" s="143">
        <v>845</v>
      </c>
      <c r="AA31" s="144">
        <v>737</v>
      </c>
      <c r="AB31" s="301">
        <v>1599</v>
      </c>
      <c r="AC31" s="304">
        <v>1042</v>
      </c>
      <c r="AD31" s="302">
        <v>4299</v>
      </c>
      <c r="AE31" s="302">
        <v>1201</v>
      </c>
      <c r="AF31" s="303">
        <v>1440</v>
      </c>
    </row>
    <row r="32" spans="1:32" ht="14.15" customHeight="1" x14ac:dyDescent="0.3">
      <c r="A32" s="148" t="s">
        <v>82</v>
      </c>
      <c r="B32" s="147">
        <v>44926</v>
      </c>
      <c r="C32" s="301">
        <v>546</v>
      </c>
      <c r="D32" s="302">
        <v>444</v>
      </c>
      <c r="E32" s="302">
        <v>1505</v>
      </c>
      <c r="F32" s="143">
        <v>484</v>
      </c>
      <c r="G32" s="144">
        <v>506</v>
      </c>
      <c r="H32" s="145">
        <v>71</v>
      </c>
      <c r="I32" s="146">
        <v>51</v>
      </c>
      <c r="J32" s="143"/>
      <c r="K32" s="143">
        <v>58</v>
      </c>
      <c r="L32" s="143">
        <v>64</v>
      </c>
      <c r="M32" s="145">
        <v>218</v>
      </c>
      <c r="N32" s="146">
        <v>105</v>
      </c>
      <c r="O32" s="143">
        <v>107</v>
      </c>
      <c r="P32" s="143">
        <v>166</v>
      </c>
      <c r="Q32" s="144">
        <v>157</v>
      </c>
      <c r="R32" s="301">
        <v>82</v>
      </c>
      <c r="S32" s="304">
        <v>178</v>
      </c>
      <c r="T32" s="302">
        <v>198</v>
      </c>
      <c r="U32" s="302">
        <v>84</v>
      </c>
      <c r="V32" s="303">
        <v>176</v>
      </c>
      <c r="W32" s="145">
        <v>447</v>
      </c>
      <c r="X32" s="146">
        <v>242</v>
      </c>
      <c r="Y32" s="143">
        <v>995</v>
      </c>
      <c r="Z32" s="143">
        <v>374</v>
      </c>
      <c r="AA32" s="144">
        <v>315</v>
      </c>
      <c r="AB32" s="301">
        <v>621</v>
      </c>
      <c r="AC32" s="304">
        <v>515</v>
      </c>
      <c r="AD32" s="302">
        <v>1529</v>
      </c>
      <c r="AE32" s="302">
        <v>525</v>
      </c>
      <c r="AF32" s="303">
        <v>611</v>
      </c>
    </row>
    <row r="33" spans="1:32" ht="14.15" customHeight="1" x14ac:dyDescent="0.3">
      <c r="A33" s="148" t="s">
        <v>83</v>
      </c>
      <c r="B33" s="147">
        <v>44926</v>
      </c>
      <c r="C33" s="301">
        <v>223</v>
      </c>
      <c r="D33" s="302">
        <v>121</v>
      </c>
      <c r="E33" s="302">
        <v>652</v>
      </c>
      <c r="F33" s="143">
        <v>162</v>
      </c>
      <c r="G33" s="144">
        <v>182</v>
      </c>
      <c r="H33" s="145">
        <v>35</v>
      </c>
      <c r="I33" s="146">
        <v>14</v>
      </c>
      <c r="J33" s="143"/>
      <c r="K33" s="143">
        <v>24</v>
      </c>
      <c r="L33" s="143">
        <v>25</v>
      </c>
      <c r="M33" s="145">
        <v>102</v>
      </c>
      <c r="N33" s="146">
        <v>22</v>
      </c>
      <c r="O33" s="143">
        <v>42</v>
      </c>
      <c r="P33" s="143">
        <v>57</v>
      </c>
      <c r="Q33" s="144">
        <v>67</v>
      </c>
      <c r="R33" s="301">
        <v>45</v>
      </c>
      <c r="S33" s="304">
        <v>51</v>
      </c>
      <c r="T33" s="302">
        <v>81</v>
      </c>
      <c r="U33" s="302">
        <v>30</v>
      </c>
      <c r="V33" s="303">
        <v>66</v>
      </c>
      <c r="W33" s="145">
        <v>175</v>
      </c>
      <c r="X33" s="146">
        <v>68</v>
      </c>
      <c r="Y33" s="143">
        <v>378</v>
      </c>
      <c r="Z33" s="143">
        <v>130</v>
      </c>
      <c r="AA33" s="144">
        <v>113</v>
      </c>
      <c r="AB33" s="301">
        <v>250</v>
      </c>
      <c r="AC33" s="304">
        <v>130</v>
      </c>
      <c r="AD33" s="302">
        <v>660</v>
      </c>
      <c r="AE33" s="302">
        <v>174</v>
      </c>
      <c r="AF33" s="303">
        <v>206</v>
      </c>
    </row>
    <row r="34" spans="1:32" ht="14.15" customHeight="1" x14ac:dyDescent="0.3">
      <c r="A34" s="148" t="s">
        <v>84</v>
      </c>
      <c r="B34" s="147">
        <v>44926</v>
      </c>
      <c r="C34" s="301">
        <v>2342</v>
      </c>
      <c r="D34" s="302">
        <v>1550</v>
      </c>
      <c r="E34" s="302">
        <v>8267</v>
      </c>
      <c r="F34" s="143">
        <v>1671</v>
      </c>
      <c r="G34" s="144">
        <v>2221</v>
      </c>
      <c r="H34" s="145">
        <v>396</v>
      </c>
      <c r="I34" s="146">
        <v>144</v>
      </c>
      <c r="J34" s="143"/>
      <c r="K34" s="143">
        <v>268</v>
      </c>
      <c r="L34" s="143">
        <v>272</v>
      </c>
      <c r="M34" s="145">
        <v>924</v>
      </c>
      <c r="N34" s="146">
        <v>346</v>
      </c>
      <c r="O34" s="143">
        <v>467</v>
      </c>
      <c r="P34" s="143">
        <v>609</v>
      </c>
      <c r="Q34" s="144">
        <v>661</v>
      </c>
      <c r="R34" s="301">
        <v>403</v>
      </c>
      <c r="S34" s="304">
        <v>789</v>
      </c>
      <c r="T34" s="302">
        <v>1463</v>
      </c>
      <c r="U34" s="302">
        <v>284</v>
      </c>
      <c r="V34" s="303">
        <v>908</v>
      </c>
      <c r="W34" s="145">
        <v>1860</v>
      </c>
      <c r="X34" s="146">
        <v>652</v>
      </c>
      <c r="Y34" s="143">
        <v>4968</v>
      </c>
      <c r="Z34" s="143">
        <v>1292</v>
      </c>
      <c r="AA34" s="144">
        <v>1220</v>
      </c>
      <c r="AB34" s="301">
        <v>2592</v>
      </c>
      <c r="AC34" s="304">
        <v>1795</v>
      </c>
      <c r="AD34" s="302">
        <v>8378</v>
      </c>
      <c r="AE34" s="302">
        <v>1840</v>
      </c>
      <c r="AF34" s="303">
        <v>2547</v>
      </c>
    </row>
    <row r="35" spans="1:32" ht="14.15" customHeight="1" x14ac:dyDescent="0.3">
      <c r="AB35" s="197"/>
      <c r="AE35" s="197"/>
    </row>
    <row r="36" spans="1:32" s="129" customFormat="1" ht="14.15" hidden="1" customHeight="1" x14ac:dyDescent="0.3">
      <c r="A36" s="243" t="s">
        <v>158</v>
      </c>
      <c r="C36" s="243">
        <f>SUM(C8:D8)</f>
        <v>24208</v>
      </c>
      <c r="F36" s="243">
        <f>SUM(F8:G8)</f>
        <v>24208</v>
      </c>
      <c r="H36" s="243">
        <f>SUM(H8:I8)</f>
        <v>3323</v>
      </c>
      <c r="K36" s="243">
        <f>SUM(K8:L8)</f>
        <v>3323</v>
      </c>
      <c r="M36" s="243">
        <f>SUM(M8:N8)</f>
        <v>8011</v>
      </c>
      <c r="P36" s="243">
        <f>SUM(P8:Q8)</f>
        <v>8011</v>
      </c>
      <c r="R36" s="243">
        <f>SUM(R8:S8)</f>
        <v>7319</v>
      </c>
      <c r="U36" s="243">
        <f>SUM(U8:V8)</f>
        <v>7319</v>
      </c>
      <c r="W36" s="243">
        <f>SUM(W8:X8)</f>
        <v>15860</v>
      </c>
      <c r="Z36" s="243">
        <f>SUM(Z8:AA8)</f>
        <v>15860</v>
      </c>
      <c r="AB36" s="243">
        <f>SUM(AB8:AC8)</f>
        <v>27615</v>
      </c>
      <c r="AE36" s="243">
        <f>SUM(AE8:AF8)</f>
        <v>27615</v>
      </c>
    </row>
    <row r="37" spans="1:32" ht="14.15" customHeight="1" x14ac:dyDescent="0.3"/>
    <row r="38" spans="1:32" ht="14.15" customHeight="1" x14ac:dyDescent="0.3"/>
    <row r="39" spans="1:32" ht="14.15" customHeight="1" x14ac:dyDescent="0.3"/>
    <row r="40" spans="1:32" ht="14.15" customHeight="1" x14ac:dyDescent="0.3"/>
    <row r="41" spans="1:32" ht="14.15" customHeight="1" x14ac:dyDescent="0.3"/>
    <row r="42" spans="1:32" ht="14.15" customHeight="1" x14ac:dyDescent="0.3"/>
    <row r="43" spans="1:32" ht="14.15" customHeight="1" x14ac:dyDescent="0.3"/>
    <row r="44" spans="1:32" ht="14.15" customHeight="1" x14ac:dyDescent="0.3"/>
    <row r="45" spans="1:32" ht="14.15" customHeight="1" x14ac:dyDescent="0.3"/>
    <row r="46" spans="1:32" ht="14.15" customHeight="1" x14ac:dyDescent="0.3"/>
    <row r="47" spans="1:32" ht="14.15" customHeight="1" x14ac:dyDescent="0.3"/>
    <row r="48" spans="1:32" ht="14.15" customHeight="1" x14ac:dyDescent="0.3"/>
    <row r="49" ht="14.15" customHeight="1" x14ac:dyDescent="0.3"/>
    <row r="50" ht="14.15" customHeight="1" x14ac:dyDescent="0.3"/>
    <row r="51" ht="14.15" customHeight="1" x14ac:dyDescent="0.3"/>
    <row r="52" ht="14.15" customHeight="1" x14ac:dyDescent="0.3"/>
  </sheetData>
  <sheetProtection algorithmName="SHA-512" hashValue="bFmXhaKnJ0MMAlpYR/Li9j4u3C7kNhdMWh3nHcA88NUeq0hg6wRbu6x1Zjp4HFbTooJ37NIfdxyFUeMqyUXlMw==" saltValue="0jWhZufsc8DA/Hbrrx14nA==" spinCount="100000" sheet="1" selectLockedCells="1" selectUnlockedCells="1"/>
  <customSheetViews>
    <customSheetView guid="{168849A9-FED9-4458-942F-290616B3A25C}" scale="60" showPageBreaks="1" showGridLines="0" printArea="1" hiddenRows="1">
      <selection activeCell="K8" sqref="K8"/>
      <pageMargins left="0.70866141732283472" right="0.70866141732283472" top="1.3779527559055118" bottom="0.78740157480314965" header="0.31496062992125984" footer="0.31496062992125984"/>
      <pageSetup paperSize="8" scale="95" fitToWidth="0" orientation="landscape" horizontalDpi="90" verticalDpi="90" r:id="rId1"/>
      <headerFooter>
        <oddHeader>&amp;LKennzahlenraster KIP / IAS&amp;R&amp;G</oddHeader>
        <oddFooter>&amp;L&amp;A&amp;R&amp;P</oddFooter>
      </headerFooter>
    </customSheetView>
  </customSheetViews>
  <mergeCells count="16">
    <mergeCell ref="A1:Q1"/>
    <mergeCell ref="A3:Q3"/>
    <mergeCell ref="W6:AA6"/>
    <mergeCell ref="AB6:AF6"/>
    <mergeCell ref="A5:A7"/>
    <mergeCell ref="B5:B7"/>
    <mergeCell ref="C5:G5"/>
    <mergeCell ref="H5:L5"/>
    <mergeCell ref="M5:Q5"/>
    <mergeCell ref="R5:V5"/>
    <mergeCell ref="W5:AA5"/>
    <mergeCell ref="AB5:AF5"/>
    <mergeCell ref="M6:Q6"/>
    <mergeCell ref="R6:V6"/>
    <mergeCell ref="C6:G6"/>
    <mergeCell ref="H6:L6"/>
  </mergeCells>
  <pageMargins left="0.70866141732283472" right="0.70866141732283472" top="1.3779527559055118" bottom="0.78740157480314965" header="0.31496062992125984" footer="0.31496062992125984"/>
  <pageSetup paperSize="8" scale="95" fitToWidth="0" orientation="landscape" horizontalDpi="90" verticalDpi="90" r:id="rId2"/>
  <headerFooter>
    <oddHeader>&amp;LKennzahlenraster KIP / IAS&amp;R&amp;G</oddHeader>
    <oddFooter>&amp;L&amp;A&amp;R&amp;P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0" tint="-0.499984740745262"/>
    <pageSetUpPr fitToPage="1"/>
  </sheetPr>
  <dimension ref="B1:G31"/>
  <sheetViews>
    <sheetView showGridLines="0" tabSelected="1" zoomScale="70" zoomScaleNormal="70" workbookViewId="0">
      <selection activeCell="C18" sqref="C18:G18"/>
    </sheetView>
  </sheetViews>
  <sheetFormatPr baseColWidth="10" defaultColWidth="10.58203125" defaultRowHeight="14" x14ac:dyDescent="0.3"/>
  <cols>
    <col min="1" max="1" width="2.08203125" style="231" customWidth="1"/>
    <col min="2" max="2" width="14.58203125" style="231" customWidth="1"/>
    <col min="3" max="3" width="26" style="231" customWidth="1"/>
    <col min="4" max="4" width="50.5" style="231" customWidth="1"/>
    <col min="5" max="6" width="10.58203125" style="231"/>
    <col min="7" max="7" width="11.08203125" style="231" bestFit="1" customWidth="1"/>
    <col min="8" max="8" width="2.08203125" style="231" customWidth="1"/>
    <col min="9" max="16384" width="10.58203125" style="231"/>
  </cols>
  <sheetData>
    <row r="1" spans="2:7" ht="30" x14ac:dyDescent="0.4">
      <c r="B1" s="353" t="s">
        <v>183</v>
      </c>
      <c r="C1" s="353"/>
      <c r="D1" s="353"/>
      <c r="F1" s="326"/>
    </row>
    <row r="2" spans="2:7" ht="14.5" thickBot="1" x14ac:dyDescent="0.35"/>
    <row r="3" spans="2:7" ht="28.5" customHeight="1" x14ac:dyDescent="0.6">
      <c r="B3" s="354" t="s">
        <v>40</v>
      </c>
      <c r="C3" s="355"/>
      <c r="D3" s="232" t="s">
        <v>117</v>
      </c>
      <c r="F3" s="322"/>
    </row>
    <row r="4" spans="2:7" ht="28.5" customHeight="1" thickBot="1" x14ac:dyDescent="0.6">
      <c r="B4" s="359"/>
      <c r="C4" s="360"/>
      <c r="D4" s="345" t="s">
        <v>125</v>
      </c>
    </row>
    <row r="5" spans="2:7" ht="18.649999999999999" customHeight="1" thickBot="1" x14ac:dyDescent="0.65">
      <c r="C5" s="233"/>
      <c r="D5" s="234"/>
    </row>
    <row r="6" spans="2:7" ht="28.5" customHeight="1" thickBot="1" x14ac:dyDescent="0.35">
      <c r="B6" s="356" t="s">
        <v>97</v>
      </c>
      <c r="C6" s="357"/>
      <c r="D6" s="358"/>
    </row>
    <row r="7" spans="2:7" ht="28.5" customHeight="1" thickBot="1" x14ac:dyDescent="0.35">
      <c r="B7" s="361"/>
      <c r="C7" s="362"/>
      <c r="D7" s="341"/>
    </row>
    <row r="8" spans="2:7" ht="14.5" thickBot="1" x14ac:dyDescent="0.35"/>
    <row r="9" spans="2:7" ht="28.5" customHeight="1" x14ac:dyDescent="0.3">
      <c r="B9" s="356" t="s">
        <v>118</v>
      </c>
      <c r="C9" s="357"/>
      <c r="D9" s="369"/>
    </row>
    <row r="10" spans="2:7" ht="28.5" customHeight="1" thickBot="1" x14ac:dyDescent="0.35">
      <c r="B10" s="235" t="s">
        <v>141</v>
      </c>
      <c r="C10" s="365"/>
      <c r="D10" s="366"/>
    </row>
    <row r="11" spans="2:7" ht="28.5" customHeight="1" thickBot="1" x14ac:dyDescent="0.35">
      <c r="B11" s="236" t="s">
        <v>142</v>
      </c>
      <c r="C11" s="363"/>
      <c r="D11" s="364"/>
    </row>
    <row r="12" spans="2:7" ht="28.5" customHeight="1" thickBot="1" x14ac:dyDescent="0.35">
      <c r="B12" s="236" t="s">
        <v>140</v>
      </c>
      <c r="C12" s="363"/>
      <c r="D12" s="364"/>
    </row>
    <row r="14" spans="2:7" ht="14.5" thickBot="1" x14ac:dyDescent="0.35"/>
    <row r="15" spans="2:7" ht="25.5" thickBot="1" x14ac:dyDescent="0.55000000000000004">
      <c r="B15" s="237" t="s">
        <v>92</v>
      </c>
      <c r="C15" s="367" t="s">
        <v>93</v>
      </c>
      <c r="D15" s="368"/>
      <c r="E15" s="368"/>
      <c r="F15" s="368"/>
      <c r="G15" s="317"/>
    </row>
    <row r="16" spans="2:7" ht="23.15" customHeight="1" x14ac:dyDescent="0.3">
      <c r="B16" s="316">
        <v>1</v>
      </c>
      <c r="C16" s="370" t="s">
        <v>94</v>
      </c>
      <c r="D16" s="371"/>
      <c r="E16" s="371"/>
      <c r="F16" s="371"/>
      <c r="G16" s="372"/>
    </row>
    <row r="17" spans="2:7" ht="22.5" x14ac:dyDescent="0.3">
      <c r="B17" s="318">
        <v>2</v>
      </c>
      <c r="C17" s="347" t="s">
        <v>95</v>
      </c>
      <c r="D17" s="348"/>
      <c r="E17" s="348"/>
      <c r="F17" s="348"/>
      <c r="G17" s="349"/>
    </row>
    <row r="18" spans="2:7" ht="23.15" customHeight="1" x14ac:dyDescent="0.3">
      <c r="B18" s="238">
        <v>3</v>
      </c>
      <c r="C18" s="347" t="s">
        <v>96</v>
      </c>
      <c r="D18" s="348"/>
      <c r="E18" s="348"/>
      <c r="F18" s="348"/>
      <c r="G18" s="349"/>
    </row>
    <row r="19" spans="2:7" ht="23.25" customHeight="1" x14ac:dyDescent="0.3">
      <c r="B19" s="239">
        <v>4</v>
      </c>
      <c r="C19" s="373" t="s">
        <v>143</v>
      </c>
      <c r="D19" s="374"/>
      <c r="E19" s="374"/>
      <c r="F19" s="374"/>
      <c r="G19" s="375"/>
    </row>
    <row r="20" spans="2:7" ht="23.25" customHeight="1" x14ac:dyDescent="0.3">
      <c r="B20" s="239">
        <v>5</v>
      </c>
      <c r="C20" s="347" t="s">
        <v>144</v>
      </c>
      <c r="D20" s="348"/>
      <c r="E20" s="348"/>
      <c r="F20" s="348"/>
      <c r="G20" s="349"/>
    </row>
    <row r="21" spans="2:7" ht="23.25" customHeight="1" x14ac:dyDescent="0.3">
      <c r="B21" s="239">
        <v>6</v>
      </c>
      <c r="C21" s="347" t="s">
        <v>145</v>
      </c>
      <c r="D21" s="348"/>
      <c r="E21" s="348"/>
      <c r="F21" s="348"/>
      <c r="G21" s="349"/>
    </row>
    <row r="22" spans="2:7" ht="23.25" customHeight="1" x14ac:dyDescent="0.3">
      <c r="B22" s="239">
        <v>7</v>
      </c>
      <c r="C22" s="347" t="s">
        <v>146</v>
      </c>
      <c r="D22" s="348"/>
      <c r="E22" s="348"/>
      <c r="F22" s="348"/>
      <c r="G22" s="349"/>
    </row>
    <row r="23" spans="2:7" ht="23.25" customHeight="1" x14ac:dyDescent="0.3">
      <c r="B23" s="239">
        <v>8</v>
      </c>
      <c r="C23" s="347" t="s">
        <v>147</v>
      </c>
      <c r="D23" s="348"/>
      <c r="E23" s="348"/>
      <c r="F23" s="348"/>
      <c r="G23" s="349"/>
    </row>
    <row r="24" spans="2:7" ht="23.25" customHeight="1" x14ac:dyDescent="0.3">
      <c r="B24" s="239">
        <v>9</v>
      </c>
      <c r="C24" s="347" t="s">
        <v>148</v>
      </c>
      <c r="D24" s="348"/>
      <c r="E24" s="348"/>
      <c r="F24" s="348"/>
      <c r="G24" s="349"/>
    </row>
    <row r="25" spans="2:7" ht="23.25" customHeight="1" x14ac:dyDescent="0.3">
      <c r="B25" s="239">
        <v>10</v>
      </c>
      <c r="C25" s="347" t="s">
        <v>149</v>
      </c>
      <c r="D25" s="348"/>
      <c r="E25" s="348"/>
      <c r="F25" s="348"/>
      <c r="G25" s="349"/>
    </row>
    <row r="26" spans="2:7" ht="23.25" customHeight="1" x14ac:dyDescent="0.3">
      <c r="B26" s="239">
        <v>11</v>
      </c>
      <c r="C26" s="347" t="s">
        <v>150</v>
      </c>
      <c r="D26" s="348"/>
      <c r="E26" s="348"/>
      <c r="F26" s="348"/>
      <c r="G26" s="349"/>
    </row>
    <row r="27" spans="2:7" ht="23.25" customHeight="1" x14ac:dyDescent="0.3">
      <c r="B27" s="239">
        <v>12</v>
      </c>
      <c r="C27" s="347" t="s">
        <v>151</v>
      </c>
      <c r="D27" s="348"/>
      <c r="E27" s="348"/>
      <c r="F27" s="348"/>
      <c r="G27" s="349"/>
    </row>
    <row r="28" spans="2:7" ht="23.25" customHeight="1" x14ac:dyDescent="0.3">
      <c r="B28" s="239">
        <v>13</v>
      </c>
      <c r="C28" s="347" t="s">
        <v>152</v>
      </c>
      <c r="D28" s="348"/>
      <c r="E28" s="348"/>
      <c r="F28" s="348"/>
      <c r="G28" s="349"/>
    </row>
    <row r="29" spans="2:7" ht="23.25" customHeight="1" x14ac:dyDescent="0.3">
      <c r="B29" s="239">
        <v>14</v>
      </c>
      <c r="C29" s="347" t="s">
        <v>153</v>
      </c>
      <c r="D29" s="348"/>
      <c r="E29" s="348"/>
      <c r="F29" s="348"/>
      <c r="G29" s="349"/>
    </row>
    <row r="30" spans="2:7" ht="23.25" customHeight="1" thickBot="1" x14ac:dyDescent="0.35">
      <c r="B30" s="346">
        <v>15</v>
      </c>
      <c r="C30" s="350" t="s">
        <v>154</v>
      </c>
      <c r="D30" s="351"/>
      <c r="E30" s="351"/>
      <c r="F30" s="351"/>
      <c r="G30" s="352"/>
    </row>
    <row r="31" spans="2:7" ht="23.5" customHeight="1" x14ac:dyDescent="0.3"/>
  </sheetData>
  <sheetProtection algorithmName="SHA-512" hashValue="b7lBOTeUKSmuFUENeGSpNTyCVQYVq96DdvDuEMKZn4UhC0j25lHCJY0wHll9Mmmg36iVTVlMoJmAnXf3S5h1aA==" saltValue="4ryyyPdd1IqvQGqHkvkDGA==" spinCount="100000" sheet="1" selectLockedCells="1"/>
  <customSheetViews>
    <customSheetView guid="{168849A9-FED9-4458-942F-290616B3A25C}" scale="60" showPageBreaks="1" showGridLines="0" fitToPage="1" printArea="1" topLeftCell="A10">
      <selection activeCell="M12" sqref="M12"/>
      <pageMargins left="0.70866141732283472" right="0.70866141732283472" top="1.1811023622047245" bottom="0.78740157480314965" header="0.31496062992125984" footer="0.31496062992125984"/>
      <pageSetup paperSize="9" scale="63" orientation="portrait" horizontalDpi="90" verticalDpi="90" r:id="rId1"/>
      <headerFooter>
        <oddHeader>&amp;LKennzahlenraster KIP IAS&amp;R&amp;G</oddHeader>
        <oddFooter>&amp;L&amp;A&amp;R&amp;P</oddFooter>
      </headerFooter>
    </customSheetView>
  </customSheetViews>
  <mergeCells count="25">
    <mergeCell ref="C24:G24"/>
    <mergeCell ref="C25:G25"/>
    <mergeCell ref="C26:G26"/>
    <mergeCell ref="C27:G27"/>
    <mergeCell ref="C19:G19"/>
    <mergeCell ref="C20:G20"/>
    <mergeCell ref="C21:G21"/>
    <mergeCell ref="C22:G22"/>
    <mergeCell ref="C23:G23"/>
    <mergeCell ref="C28:G28"/>
    <mergeCell ref="C29:G29"/>
    <mergeCell ref="C30:G30"/>
    <mergeCell ref="B1:D1"/>
    <mergeCell ref="B3:C3"/>
    <mergeCell ref="B6:D6"/>
    <mergeCell ref="B4:C4"/>
    <mergeCell ref="B7:C7"/>
    <mergeCell ref="C12:D12"/>
    <mergeCell ref="C11:D11"/>
    <mergeCell ref="C10:D10"/>
    <mergeCell ref="C15:F15"/>
    <mergeCell ref="B9:D9"/>
    <mergeCell ref="C16:G16"/>
    <mergeCell ref="C17:G17"/>
    <mergeCell ref="C18:G18"/>
  </mergeCells>
  <dataValidations xWindow="391" yWindow="600" count="3">
    <dataValidation showInputMessage="1" showErrorMessage="1" errorTitle="Freigabe" error="Bitte Name der zuständigen Person angeben" promptTitle="Freigabe" prompt="Bitte Name der zuständigen Person angeben" sqref="B10:B12" xr:uid="{00000000-0002-0000-0100-000000000000}"/>
    <dataValidation showInputMessage="1" showErrorMessage="1" errorTitle="Freigabe" error="Bitte Kontaktangaben der zuständigen Person angeben" promptTitle="Freigabe" prompt="Bitte Kontaktangaben der zuständigen Person angeben" sqref="C10" xr:uid="{00000000-0002-0000-0100-000001000000}"/>
    <dataValidation type="date" allowBlank="1" showInputMessage="1" showErrorMessage="1" errorTitle="Erfassungsdatum" error="Bitte geben Sie ein Erfassungsdatum zwischen dem 01.01.2023 und dem 31.12.2023 ein. " promptTitle="Freigabedatum" prompt="Bitte das Datum der eingeben" sqref="D7" xr:uid="{510AE28C-8742-4DC3-87C3-070C54DCC6E9}">
      <formula1>44927</formula1>
      <formula2>45291</formula2>
    </dataValidation>
  </dataValidations>
  <hyperlinks>
    <hyperlink ref="C18:D18" location="'Überblick IAS Kennzahlen'!Print_Area" display="Überblick IAS-Kennzahlen" xr:uid="{00000000-0004-0000-0100-00000C000000}"/>
    <hyperlink ref="C19:G19" location="'IAS KZ 1'!A1" display="IAS Kennzahl 1 &quot;Erstinformation&quot;" xr:uid="{A5B97A23-6858-464F-95F2-65B28459486A}"/>
    <hyperlink ref="C17:G17" location="'KIP Kennzahlen'!A1" display="KIP-Kennzahlen" xr:uid="{5598E85A-F9B7-4C9F-9B3B-1EEE0934555F}"/>
    <hyperlink ref="C20:G20" location="'IAS KZ 2'!A1" display="IAS Kennzahl 2 &quot;Arbeitserfahrung&quot;" xr:uid="{AB824A22-A9B4-470A-B040-40A548FFC9CD}"/>
    <hyperlink ref="C21:G21" location="'IAS KZ 3'!A1" display="IAS Kennzahl 3 &quot;Bildung&quot;" xr:uid="{45730285-79B1-481F-9E33-499076771683}"/>
    <hyperlink ref="C22:G22" location="'IAS KZ 4'!A1" display="IAS Kennzahl 4 &quot;Alphabetisierung&quot;" xr:uid="{3D9D19C7-610E-4860-B1E5-2E9B81080D05}"/>
    <hyperlink ref="C23:G23" location="'IAS KZ 5'!A1" display="IAS Kennzahl 5 &quot;Potenzial&quot;" xr:uid="{1E32F73A-E6C1-4818-B408-0102B33DA08E}"/>
    <hyperlink ref="C24:G24" location="'IAS KZ 6'!A1" display="IAS Kennzahl 6 &quot;Eröffnete Dossiers&quot;" xr:uid="{917AEF5E-EB96-4C8D-B59B-6D3EC3876E9F}"/>
    <hyperlink ref="C25:G25" location="'IAS KZ 7'!A1" display="IAS Kennzahl 7 &quot;Sprachförderung Erwachsene&quot;" xr:uid="{EF421894-00B4-4AFB-9A76-69CE01DA4F91}"/>
    <hyperlink ref="C26:G26" location="'IAS KZ 8'!A1" display="IAS Kennzahl 8 &quot;Sprachniveau Erwachsene&quot;" xr:uid="{18EEE1B0-277B-47A9-9954-F4DC58984C52}"/>
    <hyperlink ref="C27:G27" location="'IAS KZ 9'!A1" display="IAS Kennzahl 9 &quot;Sprachförderung Vorschulkinder&quot;" xr:uid="{7820057D-2399-4284-8BE2-BED4F6715F56}"/>
    <hyperlink ref="C28:G28" location="'IAS KZ 11a'!A1" display="IAS Kennzahl 11a &quot;Förderung Ausbildungsfähigkeit 16-25-Jährige&quot;" xr:uid="{12B5A050-85B8-4EFF-8817-BC04FA109B1B}"/>
    <hyperlink ref="C29:G29" location="'IAS KZ 11b'!A1" display="IAS Kennzahl 11b &quot;Förderung Arbeitsmarktfähigkeit 26-55-Jährige&quot;" xr:uid="{ECF9FE65-A02B-4873-8EC3-16CC38EB68C0}"/>
    <hyperlink ref="C30:G30" location="'IAS KZ 14'!A1" display="IAS Kennzahl 14 &quot;Zusammenleben&quot;" xr:uid="{716EFE20-B980-413A-9843-C3DFBD8D294A}"/>
  </hyperlinks>
  <pageMargins left="0.70866141732283472" right="0.70866141732283472" top="1.1811023622047245" bottom="0.78740157480314965" header="0.31496062992125984" footer="0.31496062992125984"/>
  <pageSetup paperSize="9" scale="63" orientation="portrait" horizontalDpi="90" verticalDpi="90" r:id="rId2"/>
  <headerFooter>
    <oddHeader>&amp;LKennzahlenraster KIP IAS&amp;R&amp;G</oddHeader>
    <oddFooter>&amp;L&amp;A&amp;R&amp;P</oddFooter>
  </headerFooter>
  <legacyDrawingHF r:id="rId3"/>
  <extLst>
    <ext xmlns:x14="http://schemas.microsoft.com/office/spreadsheetml/2009/9/main" uri="{CCE6A557-97BC-4b89-ADB6-D9C93CAAB3DF}">
      <x14:dataValidations xmlns:xm="http://schemas.microsoft.com/office/excel/2006/main" xWindow="391" yWindow="600" count="1">
        <x14:dataValidation type="list" allowBlank="1" xr:uid="{00000000-0002-0000-0100-000002000000}">
          <x14:formula1>
            <xm:f>Dropdownlisten!$A$3:$A$29</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9" tint="0.39997558519241921"/>
    <pageSetUpPr fitToPage="1"/>
  </sheetPr>
  <dimension ref="B1:K12"/>
  <sheetViews>
    <sheetView showGridLines="0" zoomScale="85" zoomScaleNormal="85" workbookViewId="0">
      <selection activeCell="F3" sqref="F3"/>
    </sheetView>
  </sheetViews>
  <sheetFormatPr baseColWidth="10" defaultColWidth="11" defaultRowHeight="14" x14ac:dyDescent="0.3"/>
  <cols>
    <col min="1" max="1" width="2.08203125" style="207" customWidth="1"/>
    <col min="2" max="2" width="4.08203125" style="207" customWidth="1"/>
    <col min="3" max="4" width="11" style="207"/>
    <col min="5" max="5" width="6" style="207" customWidth="1"/>
    <col min="6" max="6" width="34.5" style="246" customWidth="1"/>
    <col min="7" max="7" width="79.58203125" style="207" customWidth="1"/>
    <col min="8" max="9" width="14.08203125" style="207" customWidth="1"/>
    <col min="10" max="10" width="32.58203125" style="207" customWidth="1"/>
    <col min="11" max="11" width="51.83203125" style="207" customWidth="1"/>
    <col min="12" max="12" width="2.08203125" style="207" customWidth="1"/>
    <col min="13" max="16384" width="11" style="207"/>
  </cols>
  <sheetData>
    <row r="1" spans="2:11" ht="28" x14ac:dyDescent="0.6">
      <c r="B1" s="381" t="s">
        <v>98</v>
      </c>
      <c r="C1" s="382"/>
      <c r="D1" s="382"/>
      <c r="E1" s="382"/>
      <c r="F1" s="383"/>
    </row>
    <row r="2" spans="2:11" ht="28.5" customHeight="1" x14ac:dyDescent="0.5">
      <c r="B2" s="377" t="s">
        <v>40</v>
      </c>
      <c r="C2" s="378"/>
      <c r="D2" s="378"/>
      <c r="E2" s="378"/>
      <c r="F2" s="284" t="str">
        <f>Inhaltsverzeichnis!D4</f>
        <v>CH</v>
      </c>
    </row>
    <row r="3" spans="2:11" ht="28.5" customHeight="1" thickBot="1" x14ac:dyDescent="0.35">
      <c r="B3" s="379" t="s">
        <v>99</v>
      </c>
      <c r="C3" s="380"/>
      <c r="D3" s="380"/>
      <c r="E3" s="380"/>
      <c r="F3" s="285"/>
      <c r="G3" s="208"/>
    </row>
    <row r="4" spans="2:11" ht="14.15" customHeight="1" x14ac:dyDescent="0.3">
      <c r="B4" s="209"/>
      <c r="C4" s="209"/>
      <c r="D4" s="209"/>
      <c r="E4" s="210"/>
    </row>
    <row r="5" spans="2:11" ht="14.15" customHeight="1" thickBot="1" x14ac:dyDescent="0.35">
      <c r="B5" s="386"/>
      <c r="C5" s="387"/>
      <c r="D5" s="387"/>
      <c r="E5" s="387"/>
    </row>
    <row r="6" spans="2:11" ht="50.15" customHeight="1" thickBot="1" x14ac:dyDescent="0.35">
      <c r="B6" s="286" t="s">
        <v>34</v>
      </c>
      <c r="C6" s="388" t="s">
        <v>37</v>
      </c>
      <c r="D6" s="389"/>
      <c r="E6" s="390"/>
      <c r="F6" s="211" t="s">
        <v>21</v>
      </c>
      <c r="G6" s="211" t="s">
        <v>29</v>
      </c>
      <c r="H6" s="211" t="s">
        <v>57</v>
      </c>
      <c r="I6" s="327" t="s">
        <v>186</v>
      </c>
      <c r="J6" s="391" t="s">
        <v>13</v>
      </c>
      <c r="K6" s="392"/>
    </row>
    <row r="7" spans="2:11" s="212" customFormat="1" ht="16.5" customHeight="1" thickBot="1" x14ac:dyDescent="0.35">
      <c r="B7" s="376"/>
      <c r="C7" s="376"/>
      <c r="D7" s="376"/>
      <c r="E7" s="376"/>
      <c r="F7" s="376"/>
      <c r="G7" s="376"/>
      <c r="H7" s="376"/>
      <c r="I7" s="376"/>
      <c r="J7" s="376"/>
      <c r="K7" s="376"/>
    </row>
    <row r="8" spans="2:11" ht="138" customHeight="1" x14ac:dyDescent="0.3">
      <c r="B8" s="287">
        <v>1</v>
      </c>
      <c r="C8" s="395" t="s">
        <v>187</v>
      </c>
      <c r="D8" s="396"/>
      <c r="E8" s="396"/>
      <c r="F8" s="328" t="s">
        <v>226</v>
      </c>
      <c r="G8" s="321" t="s">
        <v>245</v>
      </c>
      <c r="H8" s="323"/>
      <c r="I8" s="338" t="s">
        <v>121</v>
      </c>
      <c r="J8" s="401"/>
      <c r="K8" s="402"/>
    </row>
    <row r="9" spans="2:11" ht="100.5" customHeight="1" x14ac:dyDescent="0.3">
      <c r="B9" s="288">
        <v>2</v>
      </c>
      <c r="C9" s="397" t="s">
        <v>227</v>
      </c>
      <c r="D9" s="398"/>
      <c r="E9" s="398"/>
      <c r="F9" s="247" t="s">
        <v>228</v>
      </c>
      <c r="G9" s="213" t="s">
        <v>229</v>
      </c>
      <c r="H9" s="324"/>
      <c r="I9" s="339" t="s">
        <v>121</v>
      </c>
      <c r="J9" s="384"/>
      <c r="K9" s="385"/>
    </row>
    <row r="10" spans="2:11" ht="101.25" customHeight="1" x14ac:dyDescent="0.3">
      <c r="B10" s="288">
        <v>3</v>
      </c>
      <c r="C10" s="397" t="s">
        <v>230</v>
      </c>
      <c r="D10" s="398"/>
      <c r="E10" s="398"/>
      <c r="F10" s="247" t="s">
        <v>231</v>
      </c>
      <c r="G10" s="213" t="s">
        <v>232</v>
      </c>
      <c r="H10" s="324"/>
      <c r="I10" s="339" t="s">
        <v>121</v>
      </c>
      <c r="J10" s="384"/>
      <c r="K10" s="385"/>
    </row>
    <row r="11" spans="2:11" ht="126" customHeight="1" x14ac:dyDescent="0.3">
      <c r="B11" s="288">
        <v>4</v>
      </c>
      <c r="C11" s="397" t="s">
        <v>233</v>
      </c>
      <c r="D11" s="398"/>
      <c r="E11" s="398"/>
      <c r="F11" s="247" t="s">
        <v>234</v>
      </c>
      <c r="G11" s="214" t="s">
        <v>235</v>
      </c>
      <c r="H11" s="324"/>
      <c r="I11" s="339" t="s">
        <v>121</v>
      </c>
      <c r="J11" s="384"/>
      <c r="K11" s="385"/>
    </row>
    <row r="12" spans="2:11" ht="187.5" customHeight="1" thickBot="1" x14ac:dyDescent="0.35">
      <c r="B12" s="289">
        <v>5</v>
      </c>
      <c r="C12" s="399" t="s">
        <v>236</v>
      </c>
      <c r="D12" s="400"/>
      <c r="E12" s="400"/>
      <c r="F12" s="290" t="s">
        <v>237</v>
      </c>
      <c r="G12" s="291" t="s">
        <v>238</v>
      </c>
      <c r="H12" s="325"/>
      <c r="I12" s="340" t="s">
        <v>121</v>
      </c>
      <c r="J12" s="393"/>
      <c r="K12" s="394"/>
    </row>
  </sheetData>
  <sheetProtection algorithmName="SHA-512" hashValue="DUSWbo6dAFi0IW5JzeRyyeCI08a1YdHJZWGFDAR8sr5jGB81DOyixfb5SoSrps/jKwwviJ25woFcSFSxgpqrVw==" saltValue="mP5Rm92RWUbhsYjNdPog4w==" spinCount="100000" sheet="1" selectLockedCells="1"/>
  <customSheetViews>
    <customSheetView guid="{168849A9-FED9-4458-942F-290616B3A25C}" scale="85" showPageBreaks="1" showGridLines="0" fitToPage="1" printArea="1">
      <selection activeCell="F2" sqref="F2"/>
      <pageMargins left="0.70866141732283472" right="0.70866141732283472" top="0.78740157480314965" bottom="0.78740157480314965" header="0.31496062992125984" footer="0.31496062992125984"/>
      <pageSetup paperSize="9" scale="48" fitToHeight="0" orientation="landscape" r:id="rId1"/>
      <headerFooter>
        <oddHeader>&amp;LKennzahlenraster KIP / IAS&amp;R&amp;G</oddHeader>
        <oddFooter>&amp;L&amp;A&amp;R&amp;P</oddFooter>
      </headerFooter>
    </customSheetView>
  </customSheetViews>
  <mergeCells count="17">
    <mergeCell ref="J12:K12"/>
    <mergeCell ref="J10:K10"/>
    <mergeCell ref="C8:E8"/>
    <mergeCell ref="C9:E9"/>
    <mergeCell ref="C11:E11"/>
    <mergeCell ref="C12:E12"/>
    <mergeCell ref="C10:E10"/>
    <mergeCell ref="J8:K8"/>
    <mergeCell ref="J9:K9"/>
    <mergeCell ref="B7:K7"/>
    <mergeCell ref="B2:E2"/>
    <mergeCell ref="B3:E3"/>
    <mergeCell ref="B1:F1"/>
    <mergeCell ref="J11:K11"/>
    <mergeCell ref="B5:E5"/>
    <mergeCell ref="C6:E6"/>
    <mergeCell ref="J6:K6"/>
  </mergeCells>
  <dataValidations count="2">
    <dataValidation type="whole" operator="greaterThanOrEqual" allowBlank="1" showInputMessage="1" showErrorMessage="1" errorTitle="Fehler" error="Gültig sind nur positive, ganze Zahlen (0, 200, etc.). Kein Text" sqref="H8:H12" xr:uid="{00000000-0002-0000-0200-000000000000}">
      <formula1>0</formula1>
    </dataValidation>
    <dataValidation type="date" allowBlank="1" showInputMessage="1" showErrorMessage="1" errorTitle="Erfassungsdatum" error="Bitte Erfassungsdatum eingeben" promptTitle="Erfassungsdatum" prompt="Bitte Erfassungsdatum eingeben" sqref="F3" xr:uid="{00000000-0002-0000-0200-000001000000}">
      <formula1>44927</formula1>
      <formula2>45291</formula2>
    </dataValidation>
  </dataValidations>
  <pageMargins left="0.70866141732283472" right="0.70866141732283472" top="0.78740157480314965" bottom="0.78740157480314965" header="0.31496062992125984" footer="0.31496062992125984"/>
  <pageSetup paperSize="9" scale="48" fitToHeight="0" orientation="landscape" r:id="rId2"/>
  <headerFooter>
    <oddFooter>&amp;L&amp;A&amp;R&amp;P</oddFooter>
  </headerFooter>
  <extLst>
    <ext xmlns:x14="http://schemas.microsoft.com/office/spreadsheetml/2009/9/main" uri="{CCE6A557-97BC-4b89-ADB6-D9C93CAAB3DF}">
      <x14:dataValidations xmlns:xm="http://schemas.microsoft.com/office/excel/2006/main" count="1">
        <x14:dataValidation type="list" operator="greaterThanOrEqual" showInputMessage="1" showErrorMessage="1" errorTitle="Fehler" error="Gültig sind nur positive, ganze Zahlen (0, 200, etc.). Kein Text" xr:uid="{00000000-0002-0000-0200-000002000000}">
          <x14:formula1>
            <xm:f>Dropdownlisten!$C$9:$C$12</xm:f>
          </x14:formula1>
          <xm:sqref>I8:I12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3" tint="0.39997558519241921"/>
    <pageSetUpPr fitToPage="1"/>
  </sheetPr>
  <dimension ref="A1:V34"/>
  <sheetViews>
    <sheetView showGridLines="0" zoomScale="85" zoomScaleNormal="85" zoomScalePageLayoutView="90" workbookViewId="0">
      <selection activeCell="G23" sqref="G23"/>
    </sheetView>
  </sheetViews>
  <sheetFormatPr baseColWidth="10" defaultColWidth="11" defaultRowHeight="14" x14ac:dyDescent="0.3"/>
  <cols>
    <col min="1" max="1" width="2.08203125" style="1" customWidth="1"/>
    <col min="2" max="2" width="3.08203125" style="1" customWidth="1"/>
    <col min="3" max="3" width="4.08203125" style="1" customWidth="1"/>
    <col min="4" max="4" width="32.08203125" style="1" customWidth="1"/>
    <col min="5" max="5" width="41.58203125" style="1" customWidth="1"/>
    <col min="6" max="6" width="20.08203125" style="1" customWidth="1"/>
    <col min="7" max="15" width="15.83203125" style="1" customWidth="1"/>
    <col min="16" max="16" width="2.08203125" style="1" customWidth="1"/>
    <col min="17" max="16384" width="11" style="1"/>
  </cols>
  <sheetData>
    <row r="1" spans="2:22" ht="28" x14ac:dyDescent="0.3">
      <c r="B1" s="403" t="s">
        <v>39</v>
      </c>
      <c r="C1" s="404"/>
      <c r="D1" s="404"/>
      <c r="E1" s="405"/>
    </row>
    <row r="2" spans="2:22" ht="28.5" customHeight="1" x14ac:dyDescent="0.5">
      <c r="B2" s="442" t="s">
        <v>40</v>
      </c>
      <c r="C2" s="442"/>
      <c r="D2" s="442"/>
      <c r="E2" s="99" t="str">
        <f>'KIP Kennzahlen'!F2</f>
        <v>CH</v>
      </c>
    </row>
    <row r="3" spans="2:22" ht="14.15" customHeight="1" x14ac:dyDescent="0.3">
      <c r="B3" s="7"/>
      <c r="C3" s="7"/>
      <c r="D3" s="7"/>
      <c r="E3" s="95"/>
      <c r="F3" s="95"/>
    </row>
    <row r="4" spans="2:22" ht="14.15" customHeight="1" thickBot="1" x14ac:dyDescent="0.35"/>
    <row r="5" spans="2:22" s="3" customFormat="1" ht="62.5" customHeight="1" thickBot="1" x14ac:dyDescent="0.35">
      <c r="B5" s="8" t="s">
        <v>30</v>
      </c>
      <c r="C5" s="9" t="s">
        <v>8</v>
      </c>
      <c r="D5" s="28" t="s">
        <v>20</v>
      </c>
      <c r="E5" s="421" t="s">
        <v>21</v>
      </c>
      <c r="F5" s="422"/>
      <c r="G5" s="71" t="s">
        <v>41</v>
      </c>
      <c r="H5" s="72" t="s">
        <v>46</v>
      </c>
      <c r="I5" s="73" t="s">
        <v>42</v>
      </c>
      <c r="J5" s="78" t="s">
        <v>181</v>
      </c>
      <c r="K5" s="78" t="s">
        <v>43</v>
      </c>
      <c r="L5" s="79" t="s">
        <v>44</v>
      </c>
      <c r="M5" s="74" t="s">
        <v>45</v>
      </c>
      <c r="N5" s="432" t="s">
        <v>127</v>
      </c>
      <c r="O5" s="433"/>
      <c r="P5" s="2"/>
      <c r="Q5" s="2"/>
      <c r="R5" s="2"/>
      <c r="S5" s="2"/>
      <c r="T5" s="2"/>
      <c r="U5" s="2"/>
      <c r="V5" s="2"/>
    </row>
    <row r="6" spans="2:22" s="4" customFormat="1" ht="14.15" customHeight="1" thickBot="1" x14ac:dyDescent="0.35">
      <c r="B6" s="240"/>
      <c r="C6" s="420"/>
      <c r="D6" s="420"/>
      <c r="E6" s="420"/>
      <c r="F6" s="420"/>
      <c r="G6" s="420"/>
      <c r="H6" s="420"/>
      <c r="I6" s="420"/>
      <c r="J6" s="420"/>
      <c r="K6" s="420"/>
      <c r="L6" s="420"/>
      <c r="M6" s="420"/>
      <c r="P6" s="5"/>
      <c r="Q6" s="5"/>
      <c r="R6" s="5"/>
      <c r="S6" s="5"/>
      <c r="T6" s="5"/>
      <c r="U6" s="5"/>
      <c r="V6" s="5"/>
    </row>
    <row r="7" spans="2:22" s="225" customFormat="1" ht="45" customHeight="1" thickBot="1" x14ac:dyDescent="0.35">
      <c r="B7" s="215"/>
      <c r="C7" s="216"/>
      <c r="D7" s="217" t="s">
        <v>2</v>
      </c>
      <c r="E7" s="218"/>
      <c r="F7" s="219"/>
      <c r="G7" s="220"/>
      <c r="H7" s="221"/>
      <c r="I7" s="221"/>
      <c r="J7" s="222"/>
      <c r="K7" s="222"/>
      <c r="L7" s="223"/>
      <c r="M7" s="224"/>
      <c r="N7" s="226" t="s">
        <v>109</v>
      </c>
      <c r="O7" s="227" t="s">
        <v>106</v>
      </c>
    </row>
    <row r="8" spans="2:22" s="6" customFormat="1" ht="80.150000000000006" customHeight="1" thickBot="1" x14ac:dyDescent="0.35">
      <c r="B8" s="35" t="s">
        <v>32</v>
      </c>
      <c r="C8" s="36">
        <v>1</v>
      </c>
      <c r="D8" s="37" t="s">
        <v>22</v>
      </c>
      <c r="E8" s="38" t="s">
        <v>91</v>
      </c>
      <c r="F8" s="158"/>
      <c r="G8" s="66">
        <f>SUM(H8:I8,K8)</f>
        <v>0</v>
      </c>
      <c r="H8" s="39">
        <f>'IAS KZ 1'!D8</f>
        <v>0</v>
      </c>
      <c r="I8" s="39">
        <f>'IAS KZ 1'!E8</f>
        <v>0</v>
      </c>
      <c r="J8" s="80">
        <f>'IAS KZ 1'!F8</f>
        <v>0</v>
      </c>
      <c r="K8" s="40">
        <f>'IAS KZ 1'!G8</f>
        <v>0</v>
      </c>
      <c r="L8" s="39">
        <f>'IAS KZ 1'!H8</f>
        <v>0</v>
      </c>
      <c r="M8" s="40">
        <f>'IAS KZ 1'!I8</f>
        <v>0</v>
      </c>
      <c r="N8" s="434"/>
      <c r="O8" s="435"/>
    </row>
    <row r="9" spans="2:22" s="6" customFormat="1" ht="45" customHeight="1" x14ac:dyDescent="0.3">
      <c r="B9" s="406" t="s">
        <v>31</v>
      </c>
      <c r="C9" s="423">
        <v>2</v>
      </c>
      <c r="D9" s="428" t="s">
        <v>15</v>
      </c>
      <c r="E9" s="417" t="s">
        <v>139</v>
      </c>
      <c r="F9" s="228" t="s">
        <v>9</v>
      </c>
      <c r="G9" s="68">
        <f>SUM(H9:I9,K9)</f>
        <v>0</v>
      </c>
      <c r="H9" s="42">
        <f>'IAS KZ 2'!E8</f>
        <v>0</v>
      </c>
      <c r="I9" s="43">
        <f>'IAS KZ 2'!F8</f>
        <v>0</v>
      </c>
      <c r="J9" s="81">
        <f>'IAS KZ 2'!G8</f>
        <v>0</v>
      </c>
      <c r="K9" s="81">
        <f>'IAS KZ 2'!H8</f>
        <v>0</v>
      </c>
      <c r="L9" s="87">
        <f>'IAS KZ 2'!I8</f>
        <v>0</v>
      </c>
      <c r="M9" s="44">
        <f>'IAS KZ 2'!J8</f>
        <v>0</v>
      </c>
      <c r="N9" s="436"/>
      <c r="O9" s="437"/>
    </row>
    <row r="10" spans="2:22" s="6" customFormat="1" ht="45" customHeight="1" x14ac:dyDescent="0.3">
      <c r="B10" s="443"/>
      <c r="C10" s="424"/>
      <c r="D10" s="444"/>
      <c r="E10" s="418"/>
      <c r="F10" s="229" t="s">
        <v>136</v>
      </c>
      <c r="G10" s="69">
        <f t="shared" ref="G10:G17" si="0">SUM(H10:I10,K10)</f>
        <v>0</v>
      </c>
      <c r="H10" s="29">
        <f>'IAS KZ 2'!E9</f>
        <v>0</v>
      </c>
      <c r="I10" s="31">
        <f>'IAS KZ 2'!F9</f>
        <v>0</v>
      </c>
      <c r="J10" s="82">
        <f>'IAS KZ 2'!G9</f>
        <v>0</v>
      </c>
      <c r="K10" s="82">
        <f>'IAS KZ 2'!H9</f>
        <v>0</v>
      </c>
      <c r="L10" s="88">
        <f>'IAS KZ 2'!I9</f>
        <v>0</v>
      </c>
      <c r="M10" s="30">
        <f>'IAS KZ 2'!J9</f>
        <v>0</v>
      </c>
      <c r="N10" s="436"/>
      <c r="O10" s="437"/>
    </row>
    <row r="11" spans="2:22" s="6" customFormat="1" ht="45" customHeight="1" x14ac:dyDescent="0.3">
      <c r="B11" s="443"/>
      <c r="C11" s="424"/>
      <c r="D11" s="444"/>
      <c r="E11" s="418"/>
      <c r="F11" s="229" t="s">
        <v>137</v>
      </c>
      <c r="G11" s="69">
        <f t="shared" si="0"/>
        <v>0</v>
      </c>
      <c r="H11" s="29">
        <f>'IAS KZ 2'!E10</f>
        <v>0</v>
      </c>
      <c r="I11" s="31">
        <f>'IAS KZ 2'!F10</f>
        <v>0</v>
      </c>
      <c r="J11" s="82">
        <f>'IAS KZ 2'!G10</f>
        <v>0</v>
      </c>
      <c r="K11" s="82">
        <f>'IAS KZ 2'!H10</f>
        <v>0</v>
      </c>
      <c r="L11" s="88">
        <f>'IAS KZ 2'!I10</f>
        <v>0</v>
      </c>
      <c r="M11" s="30">
        <f>'IAS KZ 2'!J10</f>
        <v>0</v>
      </c>
      <c r="N11" s="436"/>
      <c r="O11" s="437"/>
    </row>
    <row r="12" spans="2:22" s="6" customFormat="1" ht="45" customHeight="1" thickBot="1" x14ac:dyDescent="0.35">
      <c r="B12" s="407"/>
      <c r="C12" s="425"/>
      <c r="D12" s="429"/>
      <c r="E12" s="419"/>
      <c r="F12" s="230" t="s">
        <v>138</v>
      </c>
      <c r="G12" s="70">
        <f>SUM(H12:I12,K12)</f>
        <v>0</v>
      </c>
      <c r="H12" s="32">
        <f>'IAS KZ 2'!E11</f>
        <v>0</v>
      </c>
      <c r="I12" s="33">
        <f>'IAS KZ 2'!F11</f>
        <v>0</v>
      </c>
      <c r="J12" s="83">
        <f>'IAS KZ 2'!G11</f>
        <v>0</v>
      </c>
      <c r="K12" s="83">
        <f>'IAS KZ 2'!H11</f>
        <v>0</v>
      </c>
      <c r="L12" s="89">
        <f>'IAS KZ 2'!I11</f>
        <v>0</v>
      </c>
      <c r="M12" s="34">
        <f>'IAS KZ 2'!J11</f>
        <v>0</v>
      </c>
      <c r="N12" s="436"/>
      <c r="O12" s="437"/>
    </row>
    <row r="13" spans="2:22" s="6" customFormat="1" ht="45" customHeight="1" x14ac:dyDescent="0.3">
      <c r="B13" s="406" t="s">
        <v>31</v>
      </c>
      <c r="C13" s="426">
        <v>3</v>
      </c>
      <c r="D13" s="428" t="s">
        <v>16</v>
      </c>
      <c r="E13" s="440" t="s">
        <v>133</v>
      </c>
      <c r="F13" s="41" t="s">
        <v>132</v>
      </c>
      <c r="G13" s="68">
        <f t="shared" si="0"/>
        <v>0</v>
      </c>
      <c r="H13" s="42">
        <f>'IAS KZ 3'!E8</f>
        <v>0</v>
      </c>
      <c r="I13" s="43">
        <f>'IAS KZ 3'!F8</f>
        <v>0</v>
      </c>
      <c r="J13" s="81">
        <f>'IAS KZ 3'!G8</f>
        <v>0</v>
      </c>
      <c r="K13" s="81">
        <f>'IAS KZ 3'!H8</f>
        <v>0</v>
      </c>
      <c r="L13" s="87">
        <f>'IAS KZ 3'!I8</f>
        <v>0</v>
      </c>
      <c r="M13" s="44">
        <f>'IAS KZ 3'!J8</f>
        <v>0</v>
      </c>
      <c r="N13" s="436"/>
      <c r="O13" s="437"/>
    </row>
    <row r="14" spans="2:22" s="6" customFormat="1" ht="45" customHeight="1" thickBot="1" x14ac:dyDescent="0.35">
      <c r="B14" s="407"/>
      <c r="C14" s="427"/>
      <c r="D14" s="429"/>
      <c r="E14" s="441"/>
      <c r="F14" s="10" t="s">
        <v>52</v>
      </c>
      <c r="G14" s="70">
        <f t="shared" si="0"/>
        <v>0</v>
      </c>
      <c r="H14" s="32">
        <f>'IAS KZ 3'!E9</f>
        <v>0</v>
      </c>
      <c r="I14" s="33">
        <f>'IAS KZ 3'!F9</f>
        <v>0</v>
      </c>
      <c r="J14" s="83">
        <f>'IAS KZ 3'!G9</f>
        <v>0</v>
      </c>
      <c r="K14" s="83">
        <f>'IAS KZ 3'!H9</f>
        <v>0</v>
      </c>
      <c r="L14" s="89">
        <f>'IAS KZ 3'!I9</f>
        <v>0</v>
      </c>
      <c r="M14" s="34">
        <f>'IAS KZ 3'!J9</f>
        <v>0</v>
      </c>
      <c r="N14" s="436"/>
      <c r="O14" s="437"/>
    </row>
    <row r="15" spans="2:22" s="6" customFormat="1" ht="80.150000000000006" customHeight="1" thickBot="1" x14ac:dyDescent="0.35">
      <c r="B15" s="35" t="s">
        <v>31</v>
      </c>
      <c r="C15" s="45">
        <v>4</v>
      </c>
      <c r="D15" s="37" t="s">
        <v>17</v>
      </c>
      <c r="E15" s="38" t="s">
        <v>90</v>
      </c>
      <c r="F15" s="158"/>
      <c r="G15" s="66">
        <f t="shared" si="0"/>
        <v>0</v>
      </c>
      <c r="H15" s="39">
        <f>'IAS KZ 4'!D8</f>
        <v>0</v>
      </c>
      <c r="I15" s="46">
        <f>'IAS KZ 4'!E8</f>
        <v>0</v>
      </c>
      <c r="J15" s="84">
        <f>'IAS KZ 4'!F8</f>
        <v>0</v>
      </c>
      <c r="K15" s="84">
        <f>'IAS KZ 4'!G8</f>
        <v>0</v>
      </c>
      <c r="L15" s="86">
        <f>'IAS KZ 4'!H8</f>
        <v>0</v>
      </c>
      <c r="M15" s="40">
        <f>'IAS KZ 4'!I8</f>
        <v>0</v>
      </c>
      <c r="N15" s="436"/>
      <c r="O15" s="437"/>
    </row>
    <row r="16" spans="2:22" s="6" customFormat="1" ht="55" customHeight="1" x14ac:dyDescent="0.3">
      <c r="B16" s="406" t="s">
        <v>31</v>
      </c>
      <c r="C16" s="415">
        <v>5</v>
      </c>
      <c r="D16" s="413" t="s">
        <v>18</v>
      </c>
      <c r="E16" s="411" t="s">
        <v>89</v>
      </c>
      <c r="F16" s="47" t="s">
        <v>10</v>
      </c>
      <c r="G16" s="68">
        <f t="shared" si="0"/>
        <v>0</v>
      </c>
      <c r="H16" s="51">
        <f>'IAS KZ 5'!E8</f>
        <v>0</v>
      </c>
      <c r="I16" s="48">
        <f>'IAS KZ 5'!F8</f>
        <v>0</v>
      </c>
      <c r="J16" s="85">
        <f>'IAS KZ 5'!G8</f>
        <v>0</v>
      </c>
      <c r="K16" s="85">
        <f>'IAS KZ 5'!H8</f>
        <v>0</v>
      </c>
      <c r="L16" s="90">
        <f>'IAS KZ 5'!I8</f>
        <v>0</v>
      </c>
      <c r="M16" s="49">
        <f>'IAS KZ 5'!J8</f>
        <v>0</v>
      </c>
      <c r="N16" s="436"/>
      <c r="O16" s="437"/>
    </row>
    <row r="17" spans="1:16" s="6" customFormat="1" ht="55" customHeight="1" thickBot="1" x14ac:dyDescent="0.35">
      <c r="B17" s="407"/>
      <c r="C17" s="416"/>
      <c r="D17" s="414"/>
      <c r="E17" s="412"/>
      <c r="F17" s="10" t="s">
        <v>11</v>
      </c>
      <c r="G17" s="70">
        <f t="shared" si="0"/>
        <v>0</v>
      </c>
      <c r="H17" s="32">
        <f>'IAS KZ 5'!E9</f>
        <v>0</v>
      </c>
      <c r="I17" s="33">
        <f>'IAS KZ 5'!F9</f>
        <v>0</v>
      </c>
      <c r="J17" s="83">
        <f>'IAS KZ 5'!G9</f>
        <v>0</v>
      </c>
      <c r="K17" s="83">
        <f>'IAS KZ 5'!H9</f>
        <v>0</v>
      </c>
      <c r="L17" s="89">
        <f>'IAS KZ 5'!I9</f>
        <v>0</v>
      </c>
      <c r="M17" s="34">
        <f>'IAS KZ 5'!J9</f>
        <v>0</v>
      </c>
      <c r="N17" s="438"/>
      <c r="O17" s="439"/>
    </row>
    <row r="18" spans="1:16" ht="14.5" thickBot="1" x14ac:dyDescent="0.35">
      <c r="B18" s="409"/>
      <c r="C18" s="409"/>
      <c r="D18" s="409"/>
      <c r="E18" s="11"/>
      <c r="F18" s="11"/>
      <c r="G18" s="11"/>
      <c r="H18" s="11"/>
      <c r="I18" s="11"/>
      <c r="J18" s="11"/>
      <c r="K18" s="11"/>
      <c r="L18" s="11"/>
      <c r="M18" s="11"/>
    </row>
    <row r="19" spans="1:16" ht="45" customHeight="1" thickBot="1" x14ac:dyDescent="0.35">
      <c r="B19" s="55"/>
      <c r="C19" s="52"/>
      <c r="D19" s="61" t="s">
        <v>3</v>
      </c>
      <c r="E19" s="62"/>
      <c r="F19" s="63"/>
      <c r="G19" s="67"/>
      <c r="H19" s="64"/>
      <c r="I19" s="59"/>
      <c r="J19" s="91"/>
      <c r="K19" s="91"/>
      <c r="L19" s="92"/>
      <c r="M19" s="60"/>
      <c r="N19" s="226" t="s">
        <v>109</v>
      </c>
      <c r="O19" s="227" t="s">
        <v>106</v>
      </c>
    </row>
    <row r="20" spans="1:16" s="6" customFormat="1" ht="80.150000000000006" customHeight="1" thickBot="1" x14ac:dyDescent="0.35">
      <c r="B20" s="35" t="s">
        <v>32</v>
      </c>
      <c r="C20" s="36">
        <v>6</v>
      </c>
      <c r="D20" s="37" t="s">
        <v>19</v>
      </c>
      <c r="E20" s="38" t="s">
        <v>12</v>
      </c>
      <c r="F20" s="158"/>
      <c r="G20" s="66">
        <f>SUM(H20:I20,K20)</f>
        <v>0</v>
      </c>
      <c r="H20" s="39">
        <f>'IAS KZ 6'!D8</f>
        <v>0</v>
      </c>
      <c r="I20" s="39">
        <f>'IAS KZ 6'!E8</f>
        <v>0</v>
      </c>
      <c r="J20" s="46">
        <f>'IAS KZ 6'!F8</f>
        <v>0</v>
      </c>
      <c r="K20" s="80">
        <f>'IAS KZ 6'!G8</f>
        <v>0</v>
      </c>
      <c r="L20" s="86">
        <f>'IAS KZ 6'!H8</f>
        <v>0</v>
      </c>
      <c r="M20" s="50">
        <f>'IAS KZ 6'!I8</f>
        <v>0</v>
      </c>
      <c r="N20" s="430"/>
      <c r="O20" s="431"/>
    </row>
    <row r="21" spans="1:16" ht="14.5" thickBot="1" x14ac:dyDescent="0.35">
      <c r="A21" s="241"/>
      <c r="B21" s="410"/>
      <c r="C21" s="410"/>
      <c r="D21" s="410"/>
      <c r="E21" s="410"/>
      <c r="F21" s="410"/>
      <c r="G21" s="410"/>
      <c r="H21" s="410"/>
      <c r="I21" s="410"/>
      <c r="J21" s="410"/>
      <c r="K21" s="410"/>
      <c r="L21" s="410"/>
      <c r="M21" s="410"/>
      <c r="N21" s="241"/>
      <c r="O21" s="241"/>
      <c r="P21" s="241"/>
    </row>
    <row r="22" spans="1:16" ht="45" customHeight="1" thickBot="1" x14ac:dyDescent="0.35">
      <c r="B22" s="55"/>
      <c r="C22" s="52"/>
      <c r="D22" s="61" t="s">
        <v>4</v>
      </c>
      <c r="E22" s="62"/>
      <c r="F22" s="63"/>
      <c r="G22" s="67"/>
      <c r="H22" s="64"/>
      <c r="I22" s="59"/>
      <c r="J22" s="91"/>
      <c r="K22" s="91"/>
      <c r="L22" s="92"/>
      <c r="M22" s="60"/>
      <c r="N22" s="226" t="s">
        <v>109</v>
      </c>
      <c r="O22" s="227" t="s">
        <v>106</v>
      </c>
    </row>
    <row r="23" spans="1:16" s="6" customFormat="1" ht="80.150000000000006" customHeight="1" thickBot="1" x14ac:dyDescent="0.35">
      <c r="B23" s="35" t="s">
        <v>32</v>
      </c>
      <c r="C23" s="45">
        <v>7</v>
      </c>
      <c r="D23" s="37" t="s">
        <v>23</v>
      </c>
      <c r="E23" s="38" t="s">
        <v>184</v>
      </c>
      <c r="F23" s="158"/>
      <c r="G23" s="66">
        <f t="shared" ref="G23" si="1">SUM(H23:I23,K23)</f>
        <v>0</v>
      </c>
      <c r="H23" s="39">
        <f>'IAS KZ 7'!D8</f>
        <v>0</v>
      </c>
      <c r="I23" s="39">
        <f>'IAS KZ 7'!E8</f>
        <v>0</v>
      </c>
      <c r="J23" s="46">
        <f>'IAS KZ 7'!F8</f>
        <v>0</v>
      </c>
      <c r="K23" s="80">
        <f>'IAS KZ 7'!G8</f>
        <v>0</v>
      </c>
      <c r="L23" s="86">
        <f>'IAS KZ 7'!H8</f>
        <v>0</v>
      </c>
      <c r="M23" s="50">
        <f>'IAS KZ 7'!I8</f>
        <v>0</v>
      </c>
      <c r="N23" s="86" t="str">
        <f>'IAS KZ 7'!J8</f>
        <v>…..</v>
      </c>
      <c r="O23" s="50" t="str">
        <f>'IAS KZ 7'!K8</f>
        <v>…..</v>
      </c>
    </row>
    <row r="24" spans="1:16" s="6" customFormat="1" ht="95.15" customHeight="1" thickBot="1" x14ac:dyDescent="0.35">
      <c r="B24" s="35" t="s">
        <v>33</v>
      </c>
      <c r="C24" s="36">
        <v>8</v>
      </c>
      <c r="D24" s="37" t="s">
        <v>35</v>
      </c>
      <c r="E24" s="38" t="s">
        <v>88</v>
      </c>
      <c r="F24" s="158"/>
      <c r="G24" s="66">
        <f>SUM(H24:I24,K24)</f>
        <v>0</v>
      </c>
      <c r="H24" s="39">
        <f>'IAS KZ 8'!D8</f>
        <v>0</v>
      </c>
      <c r="I24" s="39">
        <f>'IAS KZ 8'!E8</f>
        <v>0</v>
      </c>
      <c r="J24" s="342"/>
      <c r="K24" s="80">
        <f>'IAS KZ 8'!F8</f>
        <v>0</v>
      </c>
      <c r="L24" s="86">
        <f>'IAS KZ 8'!G8</f>
        <v>0</v>
      </c>
      <c r="M24" s="50">
        <f>'IAS KZ 8'!H8</f>
        <v>0</v>
      </c>
      <c r="N24" s="86" t="str">
        <f>'IAS KZ 8'!I8</f>
        <v>…..</v>
      </c>
      <c r="O24" s="50" t="str">
        <f>'IAS KZ 8'!J8</f>
        <v>…..</v>
      </c>
    </row>
    <row r="25" spans="1:16" ht="14.5" thickBot="1" x14ac:dyDescent="0.35">
      <c r="B25" s="409"/>
      <c r="C25" s="409"/>
      <c r="D25" s="409"/>
      <c r="E25" s="409"/>
      <c r="F25" s="409"/>
      <c r="G25" s="409"/>
      <c r="H25" s="409"/>
      <c r="I25" s="409"/>
      <c r="J25" s="409"/>
      <c r="K25" s="409"/>
      <c r="L25" s="409"/>
      <c r="M25" s="409"/>
    </row>
    <row r="26" spans="1:16" ht="45" customHeight="1" thickBot="1" x14ac:dyDescent="0.35">
      <c r="B26" s="55"/>
      <c r="C26" s="52"/>
      <c r="D26" s="61" t="s">
        <v>5</v>
      </c>
      <c r="E26" s="62"/>
      <c r="F26" s="63"/>
      <c r="G26" s="67"/>
      <c r="H26" s="64"/>
      <c r="I26" s="59"/>
      <c r="J26" s="91"/>
      <c r="K26" s="91"/>
      <c r="L26" s="92"/>
      <c r="M26" s="60"/>
      <c r="N26" s="314" t="s">
        <v>109</v>
      </c>
      <c r="O26" s="315" t="s">
        <v>106</v>
      </c>
    </row>
    <row r="27" spans="1:16" s="6" customFormat="1" ht="80.150000000000006" customHeight="1" thickBot="1" x14ac:dyDescent="0.35">
      <c r="B27" s="77" t="s">
        <v>32</v>
      </c>
      <c r="C27" s="52">
        <v>9</v>
      </c>
      <c r="D27" s="25" t="s">
        <v>24</v>
      </c>
      <c r="E27" s="26" t="s">
        <v>87</v>
      </c>
      <c r="F27" s="159"/>
      <c r="G27" s="75">
        <f>SUM(H27:I27,K27)</f>
        <v>0</v>
      </c>
      <c r="H27" s="76">
        <f>'IAS KZ 9'!D8</f>
        <v>0</v>
      </c>
      <c r="I27" s="76">
        <f>'IAS KZ 9'!E8</f>
        <v>0</v>
      </c>
      <c r="J27" s="46">
        <f>'IAS KZ 9'!F8</f>
        <v>0</v>
      </c>
      <c r="K27" s="93">
        <f>'IAS KZ 9'!G8</f>
        <v>0</v>
      </c>
      <c r="L27" s="94">
        <f>'IAS KZ 9'!H8</f>
        <v>0</v>
      </c>
      <c r="M27" s="93">
        <f>'IAS KZ 9'!I8</f>
        <v>0</v>
      </c>
      <c r="N27" s="86" t="str">
        <f>'IAS KZ 9'!J8</f>
        <v>…..</v>
      </c>
      <c r="O27" s="40" t="str">
        <f>'IAS KZ 9'!K8</f>
        <v>…..</v>
      </c>
    </row>
    <row r="28" spans="1:16" ht="14.5" thickBot="1" x14ac:dyDescent="0.35">
      <c r="B28" s="408"/>
      <c r="C28" s="408"/>
      <c r="D28" s="408"/>
      <c r="E28" s="408"/>
      <c r="F28" s="408"/>
      <c r="G28" s="408"/>
      <c r="H28" s="408"/>
      <c r="I28" s="408"/>
      <c r="J28" s="408"/>
      <c r="K28" s="408"/>
      <c r="L28" s="408"/>
      <c r="M28" s="408"/>
    </row>
    <row r="29" spans="1:16" ht="45" customHeight="1" thickBot="1" x14ac:dyDescent="0.35">
      <c r="B29" s="55"/>
      <c r="C29" s="52"/>
      <c r="D29" s="61" t="s">
        <v>6</v>
      </c>
      <c r="E29" s="62"/>
      <c r="F29" s="63"/>
      <c r="G29" s="67"/>
      <c r="H29" s="64"/>
      <c r="I29" s="59"/>
      <c r="J29" s="91"/>
      <c r="K29" s="91"/>
      <c r="L29" s="92"/>
      <c r="M29" s="60"/>
      <c r="N29" s="226" t="s">
        <v>109</v>
      </c>
      <c r="O29" s="227" t="s">
        <v>106</v>
      </c>
    </row>
    <row r="30" spans="1:16" ht="80.150000000000006" customHeight="1" thickBot="1" x14ac:dyDescent="0.35">
      <c r="B30" s="77" t="s">
        <v>32</v>
      </c>
      <c r="C30" s="52" t="s">
        <v>27</v>
      </c>
      <c r="D30" s="53" t="s">
        <v>25</v>
      </c>
      <c r="E30" s="54" t="s">
        <v>246</v>
      </c>
      <c r="F30" s="63"/>
      <c r="G30" s="66">
        <f>SUM(H30:I30,K30)</f>
        <v>0</v>
      </c>
      <c r="H30" s="39">
        <f>'IAS KZ 11a'!D8</f>
        <v>0</v>
      </c>
      <c r="I30" s="39">
        <f>'IAS KZ 11a'!E8</f>
        <v>0</v>
      </c>
      <c r="J30" s="46">
        <f>'IAS KZ 11a'!F8</f>
        <v>0</v>
      </c>
      <c r="K30" s="80">
        <f>'IAS KZ 11a'!G8</f>
        <v>0</v>
      </c>
      <c r="L30" s="86">
        <f>'IAS KZ 11a'!H8</f>
        <v>0</v>
      </c>
      <c r="M30" s="50">
        <f>'IAS KZ 11a'!I8</f>
        <v>0</v>
      </c>
      <c r="N30" s="86" t="str">
        <f>'IAS KZ 11a'!J8</f>
        <v>…..</v>
      </c>
      <c r="O30" s="50" t="str">
        <f>'IAS KZ 11a'!K8</f>
        <v>…..</v>
      </c>
    </row>
    <row r="31" spans="1:16" ht="80.150000000000006" customHeight="1" thickBot="1" x14ac:dyDescent="0.35">
      <c r="B31" s="77" t="s">
        <v>32</v>
      </c>
      <c r="C31" s="52" t="s">
        <v>28</v>
      </c>
      <c r="D31" s="53" t="s">
        <v>26</v>
      </c>
      <c r="E31" s="54" t="s">
        <v>210</v>
      </c>
      <c r="F31" s="63"/>
      <c r="G31" s="66">
        <f>SUM(H31:I31,K31)</f>
        <v>0</v>
      </c>
      <c r="H31" s="39">
        <f>'IAS KZ 11b'!D8</f>
        <v>0</v>
      </c>
      <c r="I31" s="39">
        <f>'IAS KZ 11b'!E8</f>
        <v>0</v>
      </c>
      <c r="J31" s="46">
        <f>'IAS KZ 11b'!F8</f>
        <v>0</v>
      </c>
      <c r="K31" s="80">
        <f>'IAS KZ 11b'!G8</f>
        <v>0</v>
      </c>
      <c r="L31" s="86">
        <f>'IAS KZ 11b'!H8</f>
        <v>0</v>
      </c>
      <c r="M31" s="50">
        <f>'IAS KZ 11b'!I8</f>
        <v>0</v>
      </c>
      <c r="N31" s="86" t="str">
        <f>'IAS KZ 11b'!J8</f>
        <v>…..</v>
      </c>
      <c r="O31" s="50" t="str">
        <f>'IAS KZ 11b'!K8</f>
        <v>…..</v>
      </c>
    </row>
    <row r="32" spans="1:16" ht="14.5" thickBot="1" x14ac:dyDescent="0.35">
      <c r="B32" s="408"/>
      <c r="C32" s="408"/>
      <c r="D32" s="408"/>
      <c r="E32" s="408"/>
      <c r="F32" s="408"/>
      <c r="G32" s="408"/>
      <c r="H32" s="408"/>
      <c r="I32" s="408"/>
      <c r="J32" s="408"/>
      <c r="K32" s="408"/>
      <c r="L32" s="408"/>
      <c r="M32" s="408"/>
    </row>
    <row r="33" spans="2:15" ht="45" customHeight="1" thickBot="1" x14ac:dyDescent="0.35">
      <c r="B33" s="55"/>
      <c r="C33" s="52"/>
      <c r="D33" s="56" t="s">
        <v>7</v>
      </c>
      <c r="E33" s="57"/>
      <c r="F33" s="58"/>
      <c r="G33" s="65"/>
      <c r="H33" s="64"/>
      <c r="I33" s="59"/>
      <c r="J33" s="91"/>
      <c r="K33" s="91"/>
      <c r="L33" s="92"/>
      <c r="M33" s="60"/>
      <c r="N33" s="226" t="s">
        <v>109</v>
      </c>
      <c r="O33" s="227" t="s">
        <v>106</v>
      </c>
    </row>
    <row r="34" spans="2:15" ht="80.150000000000006" customHeight="1" thickBot="1" x14ac:dyDescent="0.35">
      <c r="B34" s="77" t="s">
        <v>32</v>
      </c>
      <c r="C34" s="52">
        <v>14</v>
      </c>
      <c r="D34" s="37" t="s">
        <v>36</v>
      </c>
      <c r="E34" s="38" t="s">
        <v>86</v>
      </c>
      <c r="F34" s="58"/>
      <c r="G34" s="66">
        <f>SUM(H34:I34,K34)</f>
        <v>0</v>
      </c>
      <c r="H34" s="39">
        <f>'IAS KZ 14'!D8</f>
        <v>0</v>
      </c>
      <c r="I34" s="39">
        <f>'IAS KZ 14'!E8</f>
        <v>0</v>
      </c>
      <c r="J34" s="46">
        <f>'IAS KZ 14'!F8</f>
        <v>0</v>
      </c>
      <c r="K34" s="80">
        <f>'IAS KZ 14'!G8</f>
        <v>0</v>
      </c>
      <c r="L34" s="86">
        <f>'IAS KZ 14'!H8</f>
        <v>0</v>
      </c>
      <c r="M34" s="50">
        <f>'IAS KZ 14'!I8</f>
        <v>0</v>
      </c>
      <c r="N34" s="86" t="str">
        <f>'IAS KZ 14'!J8</f>
        <v>…..</v>
      </c>
      <c r="O34" s="50" t="str">
        <f>'IAS KZ 14'!K8</f>
        <v>…..</v>
      </c>
    </row>
  </sheetData>
  <sheetProtection algorithmName="SHA-512" hashValue="rgrVth9oFAJV/WG+MByMfXtw+kuN6G/O13Ej6prYDUAPi0QSt1tJFADf891gN3Pmhik8Swt4JnEkA764Ya5SJg==" saltValue="1LipCkYAH0mnGChH8hrVqg==" spinCount="100000" sheet="1" selectLockedCells="1" selectUnlockedCells="1"/>
  <customSheetViews>
    <customSheetView guid="{168849A9-FED9-4458-942F-290616B3A25C}" scale="50" showPageBreaks="1" showGridLines="0" fitToPage="1" printArea="1">
      <selection activeCell="A3" sqref="A3:N3"/>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&amp;L&amp;A&amp;R&amp;P</oddFooter>
      </headerFooter>
    </customSheetView>
  </customSheetViews>
  <mergeCells count="24">
    <mergeCell ref="N20:O20"/>
    <mergeCell ref="N5:O5"/>
    <mergeCell ref="N8:O17"/>
    <mergeCell ref="E13:E14"/>
    <mergeCell ref="B2:D2"/>
    <mergeCell ref="B9:B12"/>
    <mergeCell ref="B13:B14"/>
    <mergeCell ref="D9:D12"/>
    <mergeCell ref="B1:E1"/>
    <mergeCell ref="B16:B17"/>
    <mergeCell ref="B32:M32"/>
    <mergeCell ref="B28:M28"/>
    <mergeCell ref="B25:M25"/>
    <mergeCell ref="B21:M21"/>
    <mergeCell ref="B18:D18"/>
    <mergeCell ref="E16:E17"/>
    <mergeCell ref="D16:D17"/>
    <mergeCell ref="C16:C17"/>
    <mergeCell ref="E9:E12"/>
    <mergeCell ref="C6:M6"/>
    <mergeCell ref="E5:F5"/>
    <mergeCell ref="C9:C12"/>
    <mergeCell ref="C13:C14"/>
    <mergeCell ref="D13:D14"/>
  </mergeCells>
  <pageMargins left="0.70866141732283472" right="0.70866141732283472" top="1.1811023622047245" bottom="0.78740157480314965" header="0.31496062992125984" footer="0.31496062992125984"/>
  <pageSetup paperSize="8" scale="77" fitToHeight="0" orientation="landscape" cellComments="atEnd" r:id="rId2"/>
  <headerFooter>
    <oddFooter>&amp;L&amp;A&amp;R&amp;P</oddFooter>
  </headerFooter>
  <ignoredErrors>
    <ignoredError sqref="E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3" tint="0.59999389629810485"/>
    <pageSetUpPr fitToPage="1"/>
  </sheetPr>
  <dimension ref="B1:K64"/>
  <sheetViews>
    <sheetView showGridLines="0" zoomScale="75" zoomScaleNormal="75" zoomScalePageLayoutView="70" workbookViewId="0">
      <selection activeCell="C4" sqref="C4:D4"/>
    </sheetView>
  </sheetViews>
  <sheetFormatPr baseColWidth="10" defaultColWidth="11" defaultRowHeight="14" x14ac:dyDescent="0.3"/>
  <cols>
    <col min="1" max="1" width="2.08203125" style="13" customWidth="1"/>
    <col min="2" max="2" width="37.3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45" t="s">
        <v>159</v>
      </c>
      <c r="C1" s="445"/>
      <c r="D1" s="445"/>
      <c r="E1" s="445"/>
      <c r="F1" s="445"/>
      <c r="G1" s="445"/>
      <c r="H1" s="445"/>
      <c r="I1" s="445"/>
    </row>
    <row r="2" spans="2:11" s="1" customFormat="1" x14ac:dyDescent="0.3">
      <c r="B2" s="16"/>
      <c r="C2" s="16"/>
      <c r="D2" s="16"/>
      <c r="E2" s="16"/>
      <c r="F2" s="16"/>
      <c r="G2" s="16"/>
    </row>
    <row r="3" spans="2:11" s="1" customFormat="1" ht="28.5" customHeight="1" x14ac:dyDescent="0.3">
      <c r="B3" s="98" t="s">
        <v>40</v>
      </c>
      <c r="C3" s="447" t="str">
        <f>Inhaltsverzeichnis!D4</f>
        <v>CH</v>
      </c>
      <c r="D3" s="447"/>
      <c r="E3" s="96"/>
    </row>
    <row r="4" spans="2:11" s="1" customFormat="1" ht="28.5" customHeight="1" x14ac:dyDescent="0.3">
      <c r="B4" s="98" t="s">
        <v>99</v>
      </c>
      <c r="C4" s="446"/>
      <c r="D4" s="446"/>
      <c r="E4" s="96"/>
      <c r="H4" s="97"/>
    </row>
    <row r="5" spans="2:11" ht="14.15" customHeight="1" thickBot="1" x14ac:dyDescent="0.35"/>
    <row r="6" spans="2:11" ht="45" customHeight="1" thickBot="1" x14ac:dyDescent="0.35">
      <c r="B6" s="448"/>
      <c r="C6" s="449"/>
      <c r="D6" s="449"/>
      <c r="E6" s="449"/>
      <c r="F6" s="449"/>
      <c r="G6" s="449"/>
      <c r="H6" s="449"/>
      <c r="I6" s="450"/>
      <c r="K6" s="71" t="s">
        <v>13</v>
      </c>
    </row>
    <row r="7" spans="2:11" s="16" customFormat="1" ht="45" customHeight="1" thickBot="1" x14ac:dyDescent="0.35">
      <c r="B7" s="174" t="s">
        <v>116</v>
      </c>
      <c r="C7" s="170" t="s">
        <v>1</v>
      </c>
      <c r="D7" s="171" t="s">
        <v>46</v>
      </c>
      <c r="E7" s="171" t="s">
        <v>42</v>
      </c>
      <c r="F7" s="171" t="s">
        <v>181</v>
      </c>
      <c r="G7" s="171" t="s">
        <v>43</v>
      </c>
      <c r="H7" s="172" t="s">
        <v>47</v>
      </c>
      <c r="I7" s="173" t="s">
        <v>48</v>
      </c>
      <c r="J7" s="13"/>
      <c r="K7" s="451"/>
    </row>
    <row r="8" spans="2:11" ht="60" customHeight="1" thickBot="1" x14ac:dyDescent="0.35">
      <c r="B8" s="27" t="s">
        <v>85</v>
      </c>
      <c r="C8" s="102">
        <f>SUM(D8:E8, G8)</f>
        <v>0</v>
      </c>
      <c r="D8" s="103"/>
      <c r="E8" s="104"/>
      <c r="F8" s="104"/>
      <c r="G8" s="104"/>
      <c r="H8" s="126"/>
      <c r="I8" s="105"/>
      <c r="K8" s="452"/>
    </row>
    <row r="9" spans="2:11" ht="43.5" customHeight="1" thickBot="1" x14ac:dyDescent="0.35">
      <c r="B9" s="270" t="s">
        <v>189</v>
      </c>
      <c r="C9" s="271">
        <f>SUM(D9:E9, G9)</f>
        <v>4906</v>
      </c>
      <c r="D9" s="272">
        <f>VLOOKUP($C$3,bestand_ias,3,FALSE)</f>
        <v>2346</v>
      </c>
      <c r="E9" s="272">
        <f>VLOOKUP($C$3,bestand_ias,4,FALSE)</f>
        <v>2560</v>
      </c>
      <c r="F9" s="272">
        <f>VLOOKUP($C$3,bestand_ias,5,FALSE)</f>
        <v>44464</v>
      </c>
      <c r="G9" s="272" t="s">
        <v>123</v>
      </c>
      <c r="H9" s="272">
        <f>VLOOKUP($C$3,bestand_ias,6,FALSE)</f>
        <v>1594</v>
      </c>
      <c r="I9" s="273">
        <f>VLOOKUP($C$3,bestand_ias,7,FALSE)</f>
        <v>3312</v>
      </c>
      <c r="K9" s="452"/>
    </row>
    <row r="10" spans="2:11" ht="14.15" customHeight="1" x14ac:dyDescent="0.3">
      <c r="B10" s="13" t="s">
        <v>247</v>
      </c>
      <c r="K10" s="452"/>
    </row>
    <row r="11" spans="2:11" ht="14.15" customHeight="1" thickBot="1" x14ac:dyDescent="0.35">
      <c r="K11" s="452"/>
    </row>
    <row r="12" spans="2:11" ht="45" customHeight="1" thickBot="1" x14ac:dyDescent="0.35">
      <c r="B12" s="454" t="s">
        <v>49</v>
      </c>
      <c r="C12" s="455"/>
      <c r="D12" s="455"/>
      <c r="E12" s="455"/>
      <c r="F12" s="455"/>
      <c r="G12" s="455"/>
      <c r="H12" s="455"/>
      <c r="I12" s="456"/>
      <c r="J12" s="14"/>
      <c r="K12" s="452"/>
    </row>
    <row r="13" spans="2:11" ht="37.5" customHeight="1" x14ac:dyDescent="0.3">
      <c r="B13" s="18" t="s">
        <v>50</v>
      </c>
      <c r="C13" s="457" t="s">
        <v>190</v>
      </c>
      <c r="D13" s="457"/>
      <c r="E13" s="457"/>
      <c r="F13" s="457"/>
      <c r="G13" s="457"/>
      <c r="H13" s="457"/>
      <c r="I13" s="458"/>
      <c r="J13" s="12"/>
      <c r="K13" s="452"/>
    </row>
    <row r="14" spans="2:11" ht="173.15" customHeight="1" x14ac:dyDescent="0.3">
      <c r="B14" s="19" t="s">
        <v>29</v>
      </c>
      <c r="C14" s="459" t="s">
        <v>178</v>
      </c>
      <c r="D14" s="459"/>
      <c r="E14" s="459"/>
      <c r="F14" s="459"/>
      <c r="G14" s="459"/>
      <c r="H14" s="459"/>
      <c r="I14" s="460"/>
      <c r="J14" s="12"/>
      <c r="K14" s="452"/>
    </row>
    <row r="15" spans="2:11" ht="67" customHeight="1" thickBot="1" x14ac:dyDescent="0.35">
      <c r="B15" s="20" t="s">
        <v>51</v>
      </c>
      <c r="C15" s="461" t="s">
        <v>191</v>
      </c>
      <c r="D15" s="461"/>
      <c r="E15" s="461"/>
      <c r="F15" s="461"/>
      <c r="G15" s="461"/>
      <c r="H15" s="461"/>
      <c r="I15" s="462"/>
      <c r="J15" s="12"/>
      <c r="K15" s="453"/>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sheetData>
  <sheetProtection algorithmName="SHA-512" hashValue="cSv3k3g37xQ7/QmVbSyHPBelO5mTlwbsJOpNei2B57IZaZKsvuZAAWOf9bsYXw7ye+jHiB3rVm5dWLt/PtExNQ==" saltValue="tm69mmtfCpT6DT8TrT6JYw==" spinCount="100000" sheet="1" selectLockedCells="1"/>
  <protectedRanges>
    <protectedRange password="CAA2" sqref="C8:C9" name="Summe"/>
  </protectedRanges>
  <sortState xmlns:xlrd2="http://schemas.microsoft.com/office/spreadsheetml/2017/richdata2" ref="B5:B30">
    <sortCondition ref="B5"/>
  </sortState>
  <customSheetViews>
    <customSheetView guid="{168849A9-FED9-4458-942F-290616B3A25C}" scale="70" showPageBreaks="1" showGridLines="0" fitToPage="1" printArea="1" view="pageLayout" topLeftCell="A7">
      <selection activeCell="C15" sqref="C15:H15"/>
      <pageMargins left="0.70866141732283472" right="0.70866141732283472" top="1.1811023622047245" bottom="0.78740157480314965" header="0.31496062992125984" footer="0.31496062992125984"/>
      <pageSetup paperSize="8" scale="87" fitToHeight="0" orientation="landscape" cellComments="atEnd" r:id="rId1"/>
      <headerFooter>
        <oddHeader>&amp;LKennzahlenraster KIP / IAS&amp;R&amp;G</oddHeader>
        <oddFooter>&amp;L&amp;A: Erstinformation&amp;R&amp;P</oddFooter>
      </headerFooter>
    </customSheetView>
  </customSheetViews>
  <mergeCells count="9">
    <mergeCell ref="B1:I1"/>
    <mergeCell ref="C4:D4"/>
    <mergeCell ref="C3:D3"/>
    <mergeCell ref="B6:I6"/>
    <mergeCell ref="K7:K15"/>
    <mergeCell ref="B12:I12"/>
    <mergeCell ref="C13:I13"/>
    <mergeCell ref="C14:I14"/>
    <mergeCell ref="C15:I15"/>
  </mergeCells>
  <dataValidations count="3">
    <dataValidation type="whole" operator="greaterThanOrEqual" allowBlank="1" showErrorMessage="1" errorTitle="Fehler" error="Gültig sind nur positive, ganze Zahlen (0, 200, etc.). Kein Text" promptTitle="Ganze Zahlen" prompt="Nur ganzzahlige Werte (0, 1, 200 etc.)" sqref="D8:I8" xr:uid="{00000000-0002-0000-04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400-000001000000}">
      <formula1>44927</formula1>
      <formula2>45291</formula2>
    </dataValidation>
    <dataValidation operator="greaterThanOrEqual" allowBlank="1" sqref="D9:I9" xr:uid="{00000000-0002-0000-04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Erstinformation&amp;R&amp;P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3" tint="0.59999389629810485"/>
    <pageSetUpPr fitToPage="1"/>
  </sheetPr>
  <dimension ref="B1:L45"/>
  <sheetViews>
    <sheetView showGridLines="0" zoomScale="75" zoomScaleNormal="75" workbookViewId="0">
      <selection activeCell="C4" sqref="C4"/>
    </sheetView>
  </sheetViews>
  <sheetFormatPr baseColWidth="10" defaultColWidth="11" defaultRowHeight="14" x14ac:dyDescent="0.3"/>
  <cols>
    <col min="1" max="1" width="2.08203125" style="13" customWidth="1"/>
    <col min="2" max="2" width="37.33203125" style="13" customWidth="1"/>
    <col min="3" max="3" width="30.83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45" t="s">
        <v>170</v>
      </c>
      <c r="C1" s="445"/>
      <c r="D1" s="445"/>
      <c r="E1" s="445"/>
      <c r="F1" s="445"/>
      <c r="G1" s="445"/>
      <c r="H1" s="445"/>
      <c r="I1" s="445"/>
      <c r="J1" s="445"/>
    </row>
    <row r="2" spans="2:12" s="1" customFormat="1" x14ac:dyDescent="0.3">
      <c r="B2" s="16"/>
      <c r="C2" s="16"/>
      <c r="E2" s="16"/>
      <c r="F2" s="16"/>
      <c r="G2" s="16"/>
    </row>
    <row r="3" spans="2:12" s="1" customFormat="1" ht="28.5" customHeight="1" x14ac:dyDescent="0.3">
      <c r="B3" s="98" t="s">
        <v>40</v>
      </c>
      <c r="C3" s="123" t="str">
        <f>Inhaltsverzeichnis!D4</f>
        <v>CH</v>
      </c>
      <c r="E3" s="96"/>
    </row>
    <row r="4" spans="2:12" s="1" customFormat="1" ht="28.5" customHeight="1" x14ac:dyDescent="0.3">
      <c r="B4" s="98" t="s">
        <v>99</v>
      </c>
      <c r="C4" s="124"/>
      <c r="E4" s="96"/>
      <c r="H4" s="97"/>
    </row>
    <row r="5" spans="2:12" ht="14.15" customHeight="1" thickBot="1" x14ac:dyDescent="0.35">
      <c r="B5" s="15"/>
      <c r="C5" s="15"/>
    </row>
    <row r="6" spans="2:12" ht="45" customHeight="1" thickBot="1" x14ac:dyDescent="0.35">
      <c r="B6" s="463"/>
      <c r="C6" s="464"/>
      <c r="D6" s="464"/>
      <c r="E6" s="464"/>
      <c r="F6" s="464"/>
      <c r="G6" s="464"/>
      <c r="H6" s="464"/>
      <c r="I6" s="464"/>
      <c r="J6" s="465"/>
      <c r="L6" s="71" t="s">
        <v>13</v>
      </c>
    </row>
    <row r="7" spans="2:12" s="16" customFormat="1" ht="45" customHeight="1" thickBot="1" x14ac:dyDescent="0.35">
      <c r="B7" s="174" t="s">
        <v>116</v>
      </c>
      <c r="C7" s="169"/>
      <c r="D7" s="170" t="s">
        <v>1</v>
      </c>
      <c r="E7" s="171" t="s">
        <v>46</v>
      </c>
      <c r="F7" s="171" t="s">
        <v>42</v>
      </c>
      <c r="G7" s="171" t="s">
        <v>181</v>
      </c>
      <c r="H7" s="171" t="s">
        <v>43</v>
      </c>
      <c r="I7" s="172" t="s">
        <v>47</v>
      </c>
      <c r="J7" s="166" t="s">
        <v>48</v>
      </c>
      <c r="K7" s="128"/>
      <c r="L7" s="451"/>
    </row>
    <row r="8" spans="2:12" ht="50.15" customHeight="1" x14ac:dyDescent="0.3">
      <c r="B8" s="469" t="s">
        <v>135</v>
      </c>
      <c r="C8" s="22" t="s">
        <v>129</v>
      </c>
      <c r="D8" s="107">
        <f>SUM(E8:F8, H8)</f>
        <v>0</v>
      </c>
      <c r="E8" s="103"/>
      <c r="F8" s="104"/>
      <c r="G8" s="104"/>
      <c r="H8" s="104"/>
      <c r="I8" s="126"/>
      <c r="J8" s="105"/>
      <c r="L8" s="452"/>
    </row>
    <row r="9" spans="2:12" ht="50.15" customHeight="1" x14ac:dyDescent="0.3">
      <c r="B9" s="470"/>
      <c r="C9" s="23" t="s">
        <v>130</v>
      </c>
      <c r="D9" s="108">
        <f t="shared" ref="D9:D13" si="0">SUM(E9:F9, H9)</f>
        <v>0</v>
      </c>
      <c r="E9" s="109"/>
      <c r="F9" s="110"/>
      <c r="G9" s="110"/>
      <c r="H9" s="110"/>
      <c r="I9" s="110"/>
      <c r="J9" s="111"/>
      <c r="L9" s="452"/>
    </row>
    <row r="10" spans="2:12" ht="50.15" customHeight="1" x14ac:dyDescent="0.3">
      <c r="B10" s="470"/>
      <c r="C10" s="23" t="s">
        <v>131</v>
      </c>
      <c r="D10" s="108">
        <f t="shared" si="0"/>
        <v>0</v>
      </c>
      <c r="E10" s="109"/>
      <c r="F10" s="110"/>
      <c r="G10" s="110"/>
      <c r="H10" s="110"/>
      <c r="I10" s="110"/>
      <c r="J10" s="111"/>
      <c r="L10" s="452"/>
    </row>
    <row r="11" spans="2:12" ht="50.15" customHeight="1" thickBot="1" x14ac:dyDescent="0.35">
      <c r="B11" s="470"/>
      <c r="C11" s="24" t="s">
        <v>14</v>
      </c>
      <c r="D11" s="112">
        <f t="shared" si="0"/>
        <v>0</v>
      </c>
      <c r="E11" s="113"/>
      <c r="F11" s="114"/>
      <c r="G11" s="114"/>
      <c r="H11" s="114"/>
      <c r="I11" s="114"/>
      <c r="J11" s="115"/>
      <c r="L11" s="452"/>
    </row>
    <row r="12" spans="2:12" ht="50.15" customHeight="1" thickBot="1" x14ac:dyDescent="0.35">
      <c r="B12" s="470"/>
      <c r="C12" s="283" t="s">
        <v>1</v>
      </c>
      <c r="D12" s="125">
        <f t="shared" si="0"/>
        <v>0</v>
      </c>
      <c r="E12" s="117">
        <f t="shared" ref="E12:J12" si="1">SUM(E8:E11)</f>
        <v>0</v>
      </c>
      <c r="F12" s="118">
        <f t="shared" si="1"/>
        <v>0</v>
      </c>
      <c r="G12" s="118">
        <f t="shared" si="1"/>
        <v>0</v>
      </c>
      <c r="H12" s="118">
        <f t="shared" si="1"/>
        <v>0</v>
      </c>
      <c r="I12" s="118">
        <f t="shared" si="1"/>
        <v>0</v>
      </c>
      <c r="J12" s="119">
        <f t="shared" si="1"/>
        <v>0</v>
      </c>
      <c r="L12" s="452"/>
    </row>
    <row r="13" spans="2:12" ht="43.5" customHeight="1" thickBot="1" x14ac:dyDescent="0.35">
      <c r="B13" s="270" t="s">
        <v>239</v>
      </c>
      <c r="C13" s="270"/>
      <c r="D13" s="271">
        <f t="shared" si="0"/>
        <v>4906</v>
      </c>
      <c r="E13" s="274">
        <f>VLOOKUP($C$3,bestand_ias,3,FALSE)</f>
        <v>2346</v>
      </c>
      <c r="F13" s="275">
        <f>VLOOKUP($C$3,bestand_ias,4,FALSE)</f>
        <v>2560</v>
      </c>
      <c r="G13" s="275">
        <f>VLOOKUP($C$3,bestand_ias,5,FALSE)</f>
        <v>44464</v>
      </c>
      <c r="H13" s="275" t="s">
        <v>123</v>
      </c>
      <c r="I13" s="275">
        <f>VLOOKUP($C$3,bestand_ias,6,FALSE)</f>
        <v>1594</v>
      </c>
      <c r="J13" s="276">
        <f>VLOOKUP($C$3,bestand_ias,7,FALSE)</f>
        <v>3312</v>
      </c>
      <c r="L13" s="452"/>
    </row>
    <row r="14" spans="2:12" ht="14.15" customHeight="1" x14ac:dyDescent="0.3">
      <c r="B14" s="13" t="s">
        <v>247</v>
      </c>
      <c r="L14" s="452"/>
    </row>
    <row r="15" spans="2:12" ht="14.15" customHeight="1" thickBot="1" x14ac:dyDescent="0.35">
      <c r="L15" s="452"/>
    </row>
    <row r="16" spans="2:12" ht="45" customHeight="1" thickBot="1" x14ac:dyDescent="0.35">
      <c r="B16" s="454" t="s">
        <v>49</v>
      </c>
      <c r="C16" s="455"/>
      <c r="D16" s="455"/>
      <c r="E16" s="455"/>
      <c r="F16" s="455"/>
      <c r="G16" s="455"/>
      <c r="H16" s="455"/>
      <c r="I16" s="455"/>
      <c r="J16" s="456"/>
      <c r="K16" s="14"/>
      <c r="L16" s="452"/>
    </row>
    <row r="17" spans="2:12" ht="81" customHeight="1" x14ac:dyDescent="0.3">
      <c r="B17" s="18" t="s">
        <v>50</v>
      </c>
      <c r="C17" s="471" t="s">
        <v>192</v>
      </c>
      <c r="D17" s="472"/>
      <c r="E17" s="472"/>
      <c r="F17" s="472"/>
      <c r="G17" s="472"/>
      <c r="H17" s="472"/>
      <c r="I17" s="472"/>
      <c r="J17" s="473"/>
      <c r="K17" s="12"/>
      <c r="L17" s="452"/>
    </row>
    <row r="18" spans="2:12" ht="142" customHeight="1" x14ac:dyDescent="0.3">
      <c r="B18" s="19" t="s">
        <v>29</v>
      </c>
      <c r="C18" s="474" t="s">
        <v>193</v>
      </c>
      <c r="D18" s="475"/>
      <c r="E18" s="475"/>
      <c r="F18" s="475"/>
      <c r="G18" s="475"/>
      <c r="H18" s="475"/>
      <c r="I18" s="475"/>
      <c r="J18" s="476"/>
      <c r="K18" s="12"/>
      <c r="L18" s="452"/>
    </row>
    <row r="19" spans="2:12" ht="67" customHeight="1" thickBot="1" x14ac:dyDescent="0.35">
      <c r="B19" s="20" t="s">
        <v>51</v>
      </c>
      <c r="C19" s="466" t="s">
        <v>191</v>
      </c>
      <c r="D19" s="467"/>
      <c r="E19" s="467"/>
      <c r="F19" s="467"/>
      <c r="G19" s="467"/>
      <c r="H19" s="467"/>
      <c r="I19" s="467"/>
      <c r="J19" s="468"/>
      <c r="K19" s="12"/>
      <c r="L19" s="453"/>
    </row>
    <row r="20" spans="2:12" ht="14.15" customHeight="1" x14ac:dyDescent="0.3"/>
    <row r="21" spans="2:12" ht="14.15" customHeight="1" x14ac:dyDescent="0.3"/>
    <row r="22" spans="2:12" ht="14.15" customHeight="1" x14ac:dyDescent="0.3"/>
    <row r="23" spans="2:12" ht="14.15" customHeight="1" x14ac:dyDescent="0.3">
      <c r="D23" s="17"/>
    </row>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sheetData>
  <sheetProtection algorithmName="SHA-512" hashValue="IN2g60axCh4H/dDdEhFGQA/E5MaOxZUZjoHij+sYRq+iOMt2cJZolbCSlnzpPi8UwboYHe4tzGuPvor9MEYJSw==" saltValue="OOBj9ytqzsK/kryporfEQw==" spinCount="100000" sheet="1" selectLockedCells="1"/>
  <protectedRanges>
    <protectedRange password="CAA2" sqref="D8:D13" name="Summe"/>
  </protectedRanges>
  <customSheetViews>
    <customSheetView guid="{168849A9-FED9-4458-942F-290616B3A25C}" scale="85" showPageBreaks="1" showGridLines="0" fitToPage="1" printArea="1" topLeftCell="A13">
      <selection activeCell="C17" sqref="C17:I17"/>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 Arbeitserfahrung&amp;R&amp;P</oddFooter>
      </headerFooter>
    </customSheetView>
  </customSheetViews>
  <mergeCells count="8">
    <mergeCell ref="B6:J6"/>
    <mergeCell ref="B1:J1"/>
    <mergeCell ref="L7:L19"/>
    <mergeCell ref="B16:J16"/>
    <mergeCell ref="C19:J19"/>
    <mergeCell ref="B8:B12"/>
    <mergeCell ref="C17:J17"/>
    <mergeCell ref="C18:J18"/>
  </mergeCells>
  <dataValidations count="4">
    <dataValidation type="whole" operator="greaterThanOrEqual" allowBlank="1" showErrorMessage="1" errorTitle="Fehler" error="Gültig sind nur positive, ganze Zahlen (0, 200, etc.). Kein Text" promptTitle="Ganze Zahlen" prompt="Nur ganzzahlige Werte (0, 1, 200 etc.)" sqref="E8:J12" xr:uid="{00000000-0002-0000-0500-000000000000}">
      <formula1>0</formula1>
    </dataValidation>
    <dataValidation type="date" allowBlank="1" showInputMessage="1" showErrorMessage="1" errorTitle="Erfassungsdatum" error="Bitte Erfassungsdatum eingeben" promptTitle="Erfassungsdatum" prompt="Bitte Erfassungsdatum eingeben" sqref="D4" xr:uid="{00000000-0002-0000-0500-000001000000}">
      <formula1>44197</formula1>
      <formula2>44561</formula2>
    </dataValidation>
    <dataValidation operator="greaterThanOrEqual" allowBlank="1" promptTitle="Ganze Zahlen" sqref="E13:J13" xr:uid="{00000000-0002-0000-0500-000002000000}"/>
    <dataValidation type="date" allowBlank="1" showInputMessage="1" showErrorMessage="1" errorTitle="Erfassungsdatum" error="Bitte geben Sie ein Erfassungsdatum zwischen dem 01.01.2023 und dem 31.12.2023 ein. " promptTitle="Erfassungsdatum" prompt="Bitte Erfassungsdatum eingeben" sqref="C4" xr:uid="{F31FD659-F0E6-4C09-8914-6A1EFAE342A1}">
      <formula1>44927</formula1>
      <formula2>45291</formula2>
    </dataValidation>
  </dataValidations>
  <pageMargins left="0.70866141732283472" right="0.70866141732283472" top="1.1811023622047245" bottom="0.78740157480314965" header="0.31496062992125984" footer="0.31496062992125984"/>
  <pageSetup paperSize="8" scale="77" fitToHeight="0" orientation="landscape" cellComments="atEnd" r:id="rId2"/>
  <headerFooter>
    <oddFooter>&amp;L&amp;A: Arbeitserfahrung&amp;R&amp;P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theme="3" tint="0.59999389629810485"/>
    <pageSetUpPr fitToPage="1"/>
  </sheetPr>
  <dimension ref="B1:L76"/>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37.33203125" style="13" customWidth="1"/>
    <col min="3" max="3" width="12.08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45" t="s">
        <v>160</v>
      </c>
      <c r="C1" s="445"/>
      <c r="D1" s="445"/>
      <c r="E1" s="445"/>
      <c r="F1" s="445"/>
      <c r="G1" s="445"/>
      <c r="H1" s="445"/>
      <c r="I1" s="445"/>
      <c r="J1" s="445"/>
    </row>
    <row r="2" spans="2:12" s="1" customFormat="1" x14ac:dyDescent="0.3">
      <c r="B2" s="16"/>
      <c r="C2" s="16"/>
      <c r="D2" s="16"/>
      <c r="E2" s="16"/>
      <c r="F2" s="16"/>
      <c r="G2" s="16"/>
    </row>
    <row r="3" spans="2:12" s="1" customFormat="1" ht="28.5" customHeight="1" x14ac:dyDescent="0.3">
      <c r="B3" s="98" t="s">
        <v>40</v>
      </c>
      <c r="C3" s="447" t="str">
        <f>Inhaltsverzeichnis!D4</f>
        <v>CH</v>
      </c>
      <c r="D3" s="447"/>
      <c r="E3" s="96"/>
    </row>
    <row r="4" spans="2:12" s="1" customFormat="1" ht="28.5" customHeight="1" x14ac:dyDescent="0.3">
      <c r="B4" s="98" t="s">
        <v>99</v>
      </c>
      <c r="C4" s="446"/>
      <c r="D4" s="446"/>
      <c r="E4" s="96"/>
      <c r="H4" s="97"/>
    </row>
    <row r="5" spans="2:12" ht="14.15" customHeight="1" thickBot="1" x14ac:dyDescent="0.35"/>
    <row r="6" spans="2:12" ht="45" customHeight="1" thickBot="1" x14ac:dyDescent="0.35">
      <c r="B6" s="448"/>
      <c r="C6" s="449"/>
      <c r="D6" s="449"/>
      <c r="E6" s="449"/>
      <c r="F6" s="449"/>
      <c r="G6" s="449"/>
      <c r="H6" s="449"/>
      <c r="I6" s="449"/>
      <c r="J6" s="450"/>
      <c r="L6" s="71" t="s">
        <v>13</v>
      </c>
    </row>
    <row r="7" spans="2:12" s="16" customFormat="1" ht="45" customHeight="1" thickBot="1" x14ac:dyDescent="0.35">
      <c r="B7" s="174" t="s">
        <v>116</v>
      </c>
      <c r="C7" s="169"/>
      <c r="D7" s="170" t="s">
        <v>1</v>
      </c>
      <c r="E7" s="171" t="s">
        <v>46</v>
      </c>
      <c r="F7" s="171" t="s">
        <v>42</v>
      </c>
      <c r="G7" s="171" t="s">
        <v>181</v>
      </c>
      <c r="H7" s="171" t="s">
        <v>43</v>
      </c>
      <c r="I7" s="172" t="s">
        <v>47</v>
      </c>
      <c r="J7" s="175" t="s">
        <v>48</v>
      </c>
      <c r="K7" s="128"/>
      <c r="L7" s="451"/>
    </row>
    <row r="8" spans="2:12" ht="60" customHeight="1" x14ac:dyDescent="0.3">
      <c r="B8" s="479" t="s">
        <v>134</v>
      </c>
      <c r="C8" s="308" t="s">
        <v>132</v>
      </c>
      <c r="D8" s="108">
        <f>SUM(E8:F8, H8)</f>
        <v>0</v>
      </c>
      <c r="E8" s="103"/>
      <c r="F8" s="104"/>
      <c r="G8" s="104"/>
      <c r="H8" s="104"/>
      <c r="I8" s="126"/>
      <c r="J8" s="105"/>
      <c r="L8" s="452"/>
    </row>
    <row r="9" spans="2:12" ht="60" customHeight="1" thickBot="1" x14ac:dyDescent="0.35">
      <c r="B9" s="480"/>
      <c r="C9" s="308" t="s">
        <v>52</v>
      </c>
      <c r="D9" s="108">
        <f>SUM(E9:F9, H9)</f>
        <v>0</v>
      </c>
      <c r="E9" s="113"/>
      <c r="F9" s="114"/>
      <c r="G9" s="114"/>
      <c r="H9" s="114"/>
      <c r="I9" s="114"/>
      <c r="J9" s="115"/>
      <c r="L9" s="452"/>
    </row>
    <row r="10" spans="2:12" ht="60" customHeight="1" thickBot="1" x14ac:dyDescent="0.35">
      <c r="B10" s="481"/>
      <c r="C10" s="309" t="s">
        <v>1</v>
      </c>
      <c r="D10" s="125">
        <f>SUM(E10:F10, H10)</f>
        <v>0</v>
      </c>
      <c r="E10" s="120">
        <f t="shared" ref="E10:J10" si="0">SUM(E8:E9)</f>
        <v>0</v>
      </c>
      <c r="F10" s="121">
        <f t="shared" si="0"/>
        <v>0</v>
      </c>
      <c r="G10" s="121">
        <f t="shared" si="0"/>
        <v>0</v>
      </c>
      <c r="H10" s="121">
        <f t="shared" si="0"/>
        <v>0</v>
      </c>
      <c r="I10" s="121">
        <f t="shared" si="0"/>
        <v>0</v>
      </c>
      <c r="J10" s="122">
        <f t="shared" si="0"/>
        <v>0</v>
      </c>
      <c r="L10" s="452"/>
    </row>
    <row r="11" spans="2:12" ht="43.5" customHeight="1" thickBot="1" x14ac:dyDescent="0.35">
      <c r="B11" s="310" t="s">
        <v>240</v>
      </c>
      <c r="C11" s="279"/>
      <c r="D11" s="271">
        <f>SUM(E11:F11, H11)</f>
        <v>4906</v>
      </c>
      <c r="E11" s="278">
        <f>VLOOKUP($C$3,bestand_ias,3,FALSE)</f>
        <v>2346</v>
      </c>
      <c r="F11" s="275">
        <f>VLOOKUP($C$3,bestand_ias,4,FALSE)</f>
        <v>2560</v>
      </c>
      <c r="G11" s="275">
        <f>VLOOKUP($C$3,bestand_ias,5,FALSE)</f>
        <v>44464</v>
      </c>
      <c r="H11" s="275" t="s">
        <v>123</v>
      </c>
      <c r="I11" s="275">
        <f>VLOOKUP($C$3,bestand_ias,6,FALSE)</f>
        <v>1594</v>
      </c>
      <c r="J11" s="276">
        <f>VLOOKUP($C$3,bestand_ias,7,FALSE)</f>
        <v>3312</v>
      </c>
      <c r="L11" s="452"/>
    </row>
    <row r="12" spans="2:12" ht="14.15" customHeight="1" x14ac:dyDescent="0.3">
      <c r="B12" s="13" t="s">
        <v>247</v>
      </c>
      <c r="L12" s="452"/>
    </row>
    <row r="13" spans="2:12" ht="14.15" customHeight="1" thickBot="1" x14ac:dyDescent="0.35">
      <c r="L13" s="452"/>
    </row>
    <row r="14" spans="2:12" ht="45" customHeight="1" thickBot="1" x14ac:dyDescent="0.35">
      <c r="B14" s="454" t="s">
        <v>49</v>
      </c>
      <c r="C14" s="455"/>
      <c r="D14" s="455"/>
      <c r="E14" s="455"/>
      <c r="F14" s="455"/>
      <c r="G14" s="455"/>
      <c r="H14" s="455"/>
      <c r="I14" s="455"/>
      <c r="J14" s="456"/>
      <c r="K14" s="14"/>
      <c r="L14" s="452"/>
    </row>
    <row r="15" spans="2:12" ht="52" customHeight="1" x14ac:dyDescent="0.3">
      <c r="B15" s="18" t="s">
        <v>50</v>
      </c>
      <c r="C15" s="471" t="s">
        <v>195</v>
      </c>
      <c r="D15" s="472"/>
      <c r="E15" s="472"/>
      <c r="F15" s="472"/>
      <c r="G15" s="472"/>
      <c r="H15" s="472"/>
      <c r="I15" s="472"/>
      <c r="J15" s="473"/>
      <c r="K15" s="12"/>
      <c r="L15" s="452"/>
    </row>
    <row r="16" spans="2:12" ht="165.65" customHeight="1" x14ac:dyDescent="0.3">
      <c r="B16" s="19" t="s">
        <v>29</v>
      </c>
      <c r="C16" s="474" t="s">
        <v>194</v>
      </c>
      <c r="D16" s="477"/>
      <c r="E16" s="477"/>
      <c r="F16" s="477"/>
      <c r="G16" s="477"/>
      <c r="H16" s="477"/>
      <c r="I16" s="477"/>
      <c r="J16" s="478"/>
      <c r="K16" s="12"/>
      <c r="L16" s="452"/>
    </row>
    <row r="17" spans="2:12" ht="67" customHeight="1" thickBot="1" x14ac:dyDescent="0.35">
      <c r="B17" s="20" t="s">
        <v>51</v>
      </c>
      <c r="C17" s="466" t="s">
        <v>191</v>
      </c>
      <c r="D17" s="467"/>
      <c r="E17" s="467"/>
      <c r="F17" s="467"/>
      <c r="G17" s="467"/>
      <c r="H17" s="467"/>
      <c r="I17" s="467"/>
      <c r="J17" s="468"/>
      <c r="K17" s="12"/>
      <c r="L17" s="453"/>
    </row>
    <row r="18" spans="2:12" ht="14.15" customHeight="1" x14ac:dyDescent="0.3"/>
    <row r="19" spans="2:12" ht="14.15" customHeight="1" x14ac:dyDescent="0.3"/>
    <row r="20" spans="2:12" ht="14.15" customHeight="1" x14ac:dyDescent="0.3"/>
    <row r="21" spans="2:12" ht="14.15" customHeight="1" x14ac:dyDescent="0.3">
      <c r="D21" s="17"/>
    </row>
    <row r="22" spans="2:12" ht="14.15" customHeight="1" x14ac:dyDescent="0.3"/>
    <row r="23" spans="2:12" ht="14.15" customHeight="1" x14ac:dyDescent="0.3"/>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row r="65" ht="14.15" customHeight="1" x14ac:dyDescent="0.3"/>
    <row r="66" ht="14.15" customHeight="1" x14ac:dyDescent="0.3"/>
    <row r="67" ht="14.15" customHeight="1" x14ac:dyDescent="0.3"/>
    <row r="68" ht="14.15" customHeight="1" x14ac:dyDescent="0.3"/>
    <row r="69" ht="14.15" customHeight="1" x14ac:dyDescent="0.3"/>
    <row r="70" ht="14.15" customHeight="1" x14ac:dyDescent="0.3"/>
    <row r="71" ht="14.15" customHeight="1" x14ac:dyDescent="0.3"/>
    <row r="72" ht="14.15" customHeight="1" x14ac:dyDescent="0.3"/>
    <row r="73" ht="14.15" customHeight="1" x14ac:dyDescent="0.3"/>
    <row r="74" ht="14.15" customHeight="1" x14ac:dyDescent="0.3"/>
    <row r="75" ht="14.15" customHeight="1" x14ac:dyDescent="0.3"/>
    <row r="76" ht="14.15" customHeight="1" x14ac:dyDescent="0.3"/>
  </sheetData>
  <sheetProtection algorithmName="SHA-512" hashValue="lALWHjce0bDXdMYaCiHBI9cew+E1xam4mqdyUeCBevDy+R/1cjSeD2emhRdt737Ib0WUiWjKSLEnWsim5gP6LA==" saltValue="nE3UXLVV5qG8q15I+BUpgg==" spinCount="100000" sheet="1" selectLockedCells="1"/>
  <protectedRanges>
    <protectedRange password="CAA2" sqref="D8:D11" name="Summe"/>
  </protectedRanges>
  <customSheetViews>
    <customSheetView guid="{168849A9-FED9-4458-942F-290616B3A25C}" scale="85" showPageBreaks="1" showGridLines="0" fitToPage="1" printArea="1" topLeftCell="A13">
      <selection activeCell="C16" sqref="C16:I16"/>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Bildung&amp;R&amp;P</oddFooter>
      </headerFooter>
    </customSheetView>
  </customSheetViews>
  <mergeCells count="10">
    <mergeCell ref="B1:J1"/>
    <mergeCell ref="L7:L17"/>
    <mergeCell ref="B14:J14"/>
    <mergeCell ref="C17:J17"/>
    <mergeCell ref="C3:D3"/>
    <mergeCell ref="C4:D4"/>
    <mergeCell ref="C15:J15"/>
    <mergeCell ref="C16:J16"/>
    <mergeCell ref="B6:J6"/>
    <mergeCell ref="B8:B10"/>
  </mergeCells>
  <dataValidations count="3">
    <dataValidation type="whole" operator="greaterThanOrEqual" allowBlank="1" showErrorMessage="1" errorTitle="Fehler" error="Gültig sind nur positive, ganze Zahlen (0, 200, etc.). Kein Text" promptTitle="Ganze Zahlen" prompt="Nur ganzzahlige Werte (0, 1, 200 etc.)" sqref="E8:J10" xr:uid="{00000000-0002-0000-06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600-000001000000}">
      <formula1>44927</formula1>
      <formula2>45291</formula2>
    </dataValidation>
    <dataValidation allowBlank="1" sqref="D11:J11" xr:uid="{00000000-0002-0000-0600-000002000000}"/>
  </dataValidations>
  <pageMargins left="0.70866141732283472" right="0.70866141732283472" top="1.1811023622047245" bottom="0.78740157480314965" header="0.31496062992125984" footer="0.31496062992125984"/>
  <pageSetup paperSize="8" scale="83" fitToHeight="0" orientation="landscape" cellComments="atEnd" r:id="rId2"/>
  <headerFooter>
    <oddFooter>&amp;L&amp;A: Bildung&amp;R&amp;P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3" tint="0.59999389629810485"/>
    <pageSetUpPr fitToPage="1"/>
  </sheetPr>
  <dimension ref="B1:K33"/>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45" t="s">
        <v>161</v>
      </c>
      <c r="C1" s="445"/>
      <c r="D1" s="445"/>
      <c r="E1" s="445"/>
      <c r="F1" s="445"/>
      <c r="G1" s="445"/>
      <c r="H1" s="445"/>
      <c r="I1" s="445"/>
    </row>
    <row r="2" spans="2:11" s="1" customFormat="1" x14ac:dyDescent="0.3">
      <c r="B2" s="16"/>
      <c r="C2" s="16"/>
      <c r="D2" s="16"/>
      <c r="E2" s="16"/>
      <c r="F2" s="16"/>
      <c r="G2" s="16"/>
    </row>
    <row r="3" spans="2:11" s="1" customFormat="1" ht="28.5" customHeight="1" x14ac:dyDescent="0.3">
      <c r="B3" s="98" t="s">
        <v>40</v>
      </c>
      <c r="C3" s="447" t="str">
        <f>Inhaltsverzeichnis!D4</f>
        <v>CH</v>
      </c>
      <c r="D3" s="447"/>
      <c r="E3" s="96"/>
      <c r="F3" s="96"/>
    </row>
    <row r="4" spans="2:11" s="1" customFormat="1" ht="28.5" customHeight="1" x14ac:dyDescent="0.3">
      <c r="B4" s="98" t="s">
        <v>99</v>
      </c>
      <c r="C4" s="446"/>
      <c r="D4" s="446"/>
      <c r="E4" s="96"/>
      <c r="F4" s="96"/>
      <c r="H4" s="97"/>
    </row>
    <row r="5" spans="2:11" ht="14.15" customHeight="1" thickBot="1" x14ac:dyDescent="0.35"/>
    <row r="6" spans="2:11" ht="45" customHeight="1" thickBot="1" x14ac:dyDescent="0.35">
      <c r="B6" s="448"/>
      <c r="C6" s="449"/>
      <c r="D6" s="449"/>
      <c r="E6" s="449"/>
      <c r="F6" s="449"/>
      <c r="G6" s="449"/>
      <c r="H6" s="449"/>
      <c r="I6" s="450"/>
      <c r="K6" s="71" t="s">
        <v>13</v>
      </c>
    </row>
    <row r="7" spans="2:11" s="16" customFormat="1" ht="45" customHeight="1" thickBot="1" x14ac:dyDescent="0.35">
      <c r="B7" s="174" t="s">
        <v>116</v>
      </c>
      <c r="C7" s="170" t="s">
        <v>1</v>
      </c>
      <c r="D7" s="171" t="s">
        <v>46</v>
      </c>
      <c r="E7" s="171" t="s">
        <v>42</v>
      </c>
      <c r="F7" s="171" t="s">
        <v>181</v>
      </c>
      <c r="G7" s="171" t="s">
        <v>43</v>
      </c>
      <c r="H7" s="172" t="s">
        <v>47</v>
      </c>
      <c r="I7" s="173" t="s">
        <v>48</v>
      </c>
      <c r="J7" s="128"/>
      <c r="K7" s="451"/>
    </row>
    <row r="8" spans="2:11" ht="60" customHeight="1" thickBot="1" x14ac:dyDescent="0.35">
      <c r="B8" s="100" t="s">
        <v>90</v>
      </c>
      <c r="C8" s="102">
        <f>SUM(D8:E8, G8)</f>
        <v>0</v>
      </c>
      <c r="D8" s="103"/>
      <c r="E8" s="104"/>
      <c r="F8" s="104"/>
      <c r="G8" s="104"/>
      <c r="H8" s="126"/>
      <c r="I8" s="105"/>
      <c r="K8" s="452"/>
    </row>
    <row r="9" spans="2:11" ht="43.5" customHeight="1" thickBot="1" x14ac:dyDescent="0.35">
      <c r="B9" s="279" t="s">
        <v>240</v>
      </c>
      <c r="C9" s="280">
        <f>SUM(D9:E9, G9)</f>
        <v>4906</v>
      </c>
      <c r="D9" s="278">
        <f>VLOOKUP($C$3,bestand_ias,3,FALSE)</f>
        <v>2346</v>
      </c>
      <c r="E9" s="275">
        <f>VLOOKUP($C$3,bestand_ias,4,FALSE)</f>
        <v>2560</v>
      </c>
      <c r="F9" s="275">
        <f>VLOOKUP($C$3,bestand_ias,5,FALSE)</f>
        <v>44464</v>
      </c>
      <c r="G9" s="275" t="s">
        <v>123</v>
      </c>
      <c r="H9" s="275">
        <f>VLOOKUP($C$3,bestand_ias,6,FALSE)</f>
        <v>1594</v>
      </c>
      <c r="I9" s="276">
        <f>VLOOKUP($C$3,bestand_ias,7,FALSE)</f>
        <v>3312</v>
      </c>
      <c r="K9" s="452"/>
    </row>
    <row r="10" spans="2:11" ht="14.15" customHeight="1" x14ac:dyDescent="0.3">
      <c r="B10" s="13" t="s">
        <v>247</v>
      </c>
      <c r="K10" s="452"/>
    </row>
    <row r="11" spans="2:11" ht="14.15" customHeight="1" thickBot="1" x14ac:dyDescent="0.35">
      <c r="K11" s="452"/>
    </row>
    <row r="12" spans="2:11" ht="14.5" thickBot="1" x14ac:dyDescent="0.35">
      <c r="B12" s="482" t="s">
        <v>49</v>
      </c>
      <c r="C12" s="483"/>
      <c r="D12" s="483"/>
      <c r="E12" s="483"/>
      <c r="F12" s="483"/>
      <c r="G12" s="483"/>
      <c r="H12" s="483"/>
      <c r="I12" s="484"/>
      <c r="J12" s="14"/>
      <c r="K12" s="452"/>
    </row>
    <row r="13" spans="2:11" ht="37.5" customHeight="1" x14ac:dyDescent="0.3">
      <c r="B13" s="311" t="s">
        <v>50</v>
      </c>
      <c r="C13" s="485" t="s">
        <v>196</v>
      </c>
      <c r="D13" s="485"/>
      <c r="E13" s="485"/>
      <c r="F13" s="485"/>
      <c r="G13" s="485"/>
      <c r="H13" s="485"/>
      <c r="I13" s="486"/>
      <c r="J13" s="12"/>
      <c r="K13" s="452"/>
    </row>
    <row r="14" spans="2:11" ht="115.5" customHeight="1" x14ac:dyDescent="0.3">
      <c r="B14" s="312" t="s">
        <v>29</v>
      </c>
      <c r="C14" s="487" t="s">
        <v>179</v>
      </c>
      <c r="D14" s="487"/>
      <c r="E14" s="487"/>
      <c r="F14" s="487"/>
      <c r="G14" s="487"/>
      <c r="H14" s="487"/>
      <c r="I14" s="488"/>
      <c r="J14" s="12"/>
      <c r="K14" s="452"/>
    </row>
    <row r="15" spans="2:11" ht="67" customHeight="1" thickBot="1" x14ac:dyDescent="0.35">
      <c r="B15" s="313" t="s">
        <v>51</v>
      </c>
      <c r="C15" s="489" t="s">
        <v>191</v>
      </c>
      <c r="D15" s="489"/>
      <c r="E15" s="489"/>
      <c r="F15" s="489"/>
      <c r="G15" s="489"/>
      <c r="H15" s="489"/>
      <c r="I15" s="490"/>
      <c r="J15" s="12"/>
      <c r="K15" s="453"/>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sheetData>
  <sheetProtection algorithmName="SHA-512" hashValue="tjWZzho4KlK2Zq2yQ1OvhP3fxFZ4LzSgsGvfGm3DobqYup9fBGRrr1SDwFCl4GMXom/iiI+edA6O5ffLpDZ6CQ==" saltValue="j2ChFON4XHmDvw6+rPgFUQ==" spinCount="100000" sheet="1" selectLockedCells="1"/>
  <protectedRanges>
    <protectedRange password="CAA2" sqref="C8:C9" name="Summe"/>
  </protectedRanges>
  <customSheetViews>
    <customSheetView guid="{168849A9-FED9-4458-942F-290616B3A25C}" scale="70" showPageBreaks="1" showGridLines="0" fitToPage="1" printArea="1">
      <selection activeCell="J7" sqref="J7:J15"/>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Alphabetisierung&amp;R&amp;P</oddFooter>
      </headerFooter>
    </customSheetView>
  </customSheetViews>
  <mergeCells count="9">
    <mergeCell ref="B1:I1"/>
    <mergeCell ref="C3:D3"/>
    <mergeCell ref="C4:D4"/>
    <mergeCell ref="B6:I6"/>
    <mergeCell ref="K7:K15"/>
    <mergeCell ref="B12:I12"/>
    <mergeCell ref="C13:I13"/>
    <mergeCell ref="C14:I14"/>
    <mergeCell ref="C15:I15"/>
  </mergeCells>
  <dataValidations count="3">
    <dataValidation type="whole" operator="greaterThanOrEqual" allowBlank="1" showErrorMessage="1" errorTitle="Fehler" error="Gültig sind nur positive, ganze Zahlen (0, 200, etc.). Kein Text" promptTitle="Ganze Zahlen" prompt="Nur ganzzahlige Werte (0, 1, 200 etc.)" sqref="D8:I8" xr:uid="{00000000-0002-0000-07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700-000001000000}">
      <formula1>44927</formula1>
      <formula2>45291</formula2>
    </dataValidation>
    <dataValidation allowBlank="1" sqref="C9:I9" xr:uid="{00000000-0002-0000-07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Alphabetisierung&amp;R&amp;P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3" tint="0.59999389629810485"/>
    <pageSetUpPr fitToPage="1"/>
  </sheetPr>
  <dimension ref="B1:L39"/>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37.33203125" style="13" customWidth="1"/>
    <col min="3" max="3" width="12.08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45" t="s">
        <v>162</v>
      </c>
      <c r="C1" s="445"/>
      <c r="D1" s="445"/>
      <c r="E1" s="445"/>
      <c r="F1" s="445"/>
      <c r="G1" s="445"/>
      <c r="H1" s="445"/>
      <c r="I1" s="445"/>
      <c r="J1" s="445"/>
    </row>
    <row r="2" spans="2:12" s="1" customFormat="1" x14ac:dyDescent="0.3">
      <c r="B2" s="16"/>
      <c r="C2" s="16"/>
      <c r="D2" s="16"/>
      <c r="E2" s="16"/>
      <c r="F2" s="16"/>
      <c r="G2" s="16"/>
    </row>
    <row r="3" spans="2:12" s="1" customFormat="1" ht="28.5" customHeight="1" x14ac:dyDescent="0.3">
      <c r="B3" s="98" t="s">
        <v>40</v>
      </c>
      <c r="C3" s="447" t="str">
        <f>Inhaltsverzeichnis!D4</f>
        <v>CH</v>
      </c>
      <c r="D3" s="447"/>
      <c r="E3" s="96"/>
    </row>
    <row r="4" spans="2:12" s="1" customFormat="1" ht="28.5" customHeight="1" x14ac:dyDescent="0.3">
      <c r="B4" s="98" t="s">
        <v>99</v>
      </c>
      <c r="C4" s="446"/>
      <c r="D4" s="446"/>
      <c r="E4" s="96"/>
      <c r="H4" s="97"/>
    </row>
    <row r="5" spans="2:12" ht="14.15" customHeight="1" thickBot="1" x14ac:dyDescent="0.35"/>
    <row r="6" spans="2:12" ht="45" customHeight="1" thickBot="1" x14ac:dyDescent="0.35">
      <c r="B6" s="448"/>
      <c r="C6" s="449"/>
      <c r="D6" s="449"/>
      <c r="E6" s="449"/>
      <c r="F6" s="449"/>
      <c r="G6" s="449"/>
      <c r="H6" s="449"/>
      <c r="I6" s="449"/>
      <c r="J6" s="450"/>
      <c r="L6" s="71" t="s">
        <v>13</v>
      </c>
    </row>
    <row r="7" spans="2:12" s="16" customFormat="1" ht="45" customHeight="1" thickBot="1" x14ac:dyDescent="0.35">
      <c r="B7" s="174" t="s">
        <v>116</v>
      </c>
      <c r="C7" s="169"/>
      <c r="D7" s="170" t="s">
        <v>1</v>
      </c>
      <c r="E7" s="171" t="s">
        <v>46</v>
      </c>
      <c r="F7" s="171" t="s">
        <v>42</v>
      </c>
      <c r="G7" s="171" t="s">
        <v>181</v>
      </c>
      <c r="H7" s="171" t="s">
        <v>43</v>
      </c>
      <c r="I7" s="172" t="s">
        <v>47</v>
      </c>
      <c r="J7" s="166" t="s">
        <v>48</v>
      </c>
      <c r="K7" s="128"/>
      <c r="L7" s="451"/>
    </row>
    <row r="8" spans="2:12" ht="60" customHeight="1" x14ac:dyDescent="0.3">
      <c r="B8" s="469" t="s">
        <v>89</v>
      </c>
      <c r="C8" s="22" t="s">
        <v>10</v>
      </c>
      <c r="D8" s="107">
        <f>SUM(E8:F8, H8)</f>
        <v>0</v>
      </c>
      <c r="E8" s="103"/>
      <c r="F8" s="104"/>
      <c r="G8" s="104"/>
      <c r="H8" s="104"/>
      <c r="I8" s="126"/>
      <c r="J8" s="105"/>
      <c r="L8" s="452"/>
    </row>
    <row r="9" spans="2:12" ht="60" customHeight="1" thickBot="1" x14ac:dyDescent="0.35">
      <c r="B9" s="470"/>
      <c r="C9" s="23" t="s">
        <v>11</v>
      </c>
      <c r="D9" s="192">
        <f>SUM(E9:F9, H9)</f>
        <v>0</v>
      </c>
      <c r="E9" s="113"/>
      <c r="F9" s="114"/>
      <c r="G9" s="114"/>
      <c r="H9" s="114"/>
      <c r="I9" s="114"/>
      <c r="J9" s="115"/>
      <c r="L9" s="452"/>
    </row>
    <row r="10" spans="2:12" ht="60" customHeight="1" thickBot="1" x14ac:dyDescent="0.35">
      <c r="B10" s="21"/>
      <c r="C10" s="283" t="s">
        <v>1</v>
      </c>
      <c r="D10" s="106">
        <f>SUM(E10:F10, H10)</f>
        <v>0</v>
      </c>
      <c r="E10" s="193">
        <f t="shared" ref="E10:J10" si="0">SUM(E8:E9)</f>
        <v>0</v>
      </c>
      <c r="F10" s="118">
        <f t="shared" si="0"/>
        <v>0</v>
      </c>
      <c r="G10" s="118">
        <f t="shared" si="0"/>
        <v>0</v>
      </c>
      <c r="H10" s="118">
        <f t="shared" si="0"/>
        <v>0</v>
      </c>
      <c r="I10" s="118">
        <f t="shared" si="0"/>
        <v>0</v>
      </c>
      <c r="J10" s="119">
        <f t="shared" si="0"/>
        <v>0</v>
      </c>
      <c r="L10" s="452"/>
    </row>
    <row r="11" spans="2:12" ht="43.5" customHeight="1" thickBot="1" x14ac:dyDescent="0.35">
      <c r="B11" s="277" t="s">
        <v>240</v>
      </c>
      <c r="C11" s="270"/>
      <c r="D11" s="281">
        <f>SUM(E11:F11, H11)</f>
        <v>4906</v>
      </c>
      <c r="E11" s="278">
        <f>VLOOKUP($C$3,bestand_ias,3,FALSE)</f>
        <v>2346</v>
      </c>
      <c r="F11" s="275">
        <f>VLOOKUP($C$3,bestand_ias,4,FALSE)</f>
        <v>2560</v>
      </c>
      <c r="G11" s="275">
        <f>VLOOKUP($C$3,bestand_ias,5,FALSE)</f>
        <v>44464</v>
      </c>
      <c r="H11" s="275" t="s">
        <v>123</v>
      </c>
      <c r="I11" s="275">
        <f>VLOOKUP($C$3,bestand_ias,6,FALSE)</f>
        <v>1594</v>
      </c>
      <c r="J11" s="276">
        <f>VLOOKUP($C$3,bestand_ias,7,FALSE)</f>
        <v>3312</v>
      </c>
      <c r="L11" s="452"/>
    </row>
    <row r="12" spans="2:12" ht="14.15" customHeight="1" x14ac:dyDescent="0.3">
      <c r="B12" s="343" t="s">
        <v>247</v>
      </c>
      <c r="L12" s="452"/>
    </row>
    <row r="13" spans="2:12" ht="14.15" customHeight="1" thickBot="1" x14ac:dyDescent="0.35">
      <c r="L13" s="452"/>
    </row>
    <row r="14" spans="2:12" ht="45" customHeight="1" thickBot="1" x14ac:dyDescent="0.35">
      <c r="B14" s="454" t="s">
        <v>49</v>
      </c>
      <c r="C14" s="455"/>
      <c r="D14" s="455"/>
      <c r="E14" s="455"/>
      <c r="F14" s="455"/>
      <c r="G14" s="455"/>
      <c r="H14" s="455"/>
      <c r="I14" s="455"/>
      <c r="J14" s="456"/>
      <c r="K14" s="14"/>
      <c r="L14" s="452"/>
    </row>
    <row r="15" spans="2:12" ht="51" customHeight="1" x14ac:dyDescent="0.3">
      <c r="B15" s="18" t="s">
        <v>50</v>
      </c>
      <c r="C15" s="471" t="s">
        <v>197</v>
      </c>
      <c r="D15" s="472"/>
      <c r="E15" s="472"/>
      <c r="F15" s="472"/>
      <c r="G15" s="472"/>
      <c r="H15" s="472"/>
      <c r="I15" s="472"/>
      <c r="J15" s="473"/>
      <c r="K15" s="12"/>
      <c r="L15" s="452"/>
    </row>
    <row r="16" spans="2:12" ht="102" customHeight="1" x14ac:dyDescent="0.3">
      <c r="B16" s="19" t="s">
        <v>29</v>
      </c>
      <c r="C16" s="474" t="s">
        <v>180</v>
      </c>
      <c r="D16" s="477"/>
      <c r="E16" s="477"/>
      <c r="F16" s="477"/>
      <c r="G16" s="477"/>
      <c r="H16" s="477"/>
      <c r="I16" s="477"/>
      <c r="J16" s="478"/>
      <c r="K16" s="12"/>
      <c r="L16" s="452"/>
    </row>
    <row r="17" spans="2:12" ht="64" customHeight="1" thickBot="1" x14ac:dyDescent="0.35">
      <c r="B17" s="20" t="s">
        <v>51</v>
      </c>
      <c r="C17" s="466" t="s">
        <v>191</v>
      </c>
      <c r="D17" s="467"/>
      <c r="E17" s="467"/>
      <c r="F17" s="467"/>
      <c r="G17" s="467"/>
      <c r="H17" s="467"/>
      <c r="I17" s="467"/>
      <c r="J17" s="468"/>
      <c r="K17" s="12"/>
      <c r="L17" s="453"/>
    </row>
    <row r="18" spans="2:12" ht="14.15" customHeight="1" x14ac:dyDescent="0.3"/>
    <row r="19" spans="2:12" ht="14.15" customHeight="1" x14ac:dyDescent="0.3"/>
    <row r="20" spans="2:12" ht="14.15" customHeight="1" x14ac:dyDescent="0.3"/>
    <row r="21" spans="2:12" ht="14.15" customHeight="1" x14ac:dyDescent="0.3">
      <c r="D21" s="17"/>
    </row>
    <row r="22" spans="2:12" ht="14.15" customHeight="1" x14ac:dyDescent="0.3"/>
    <row r="23" spans="2:12" ht="14.15" customHeight="1" x14ac:dyDescent="0.3"/>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sheetData>
  <sheetProtection algorithmName="SHA-512" hashValue="hpKOKgsOeFCn51kDYT17o/2O+RyVkf7KNnnkKcbzu+MckLEbYBHQn+Rx+hlNpj3k+4mADCQYnFstBQvVjmkY4w==" saltValue="xMahd/JzkfgoIUXcfeb8uw==" spinCount="100000" sheet="1" selectLockedCells="1"/>
  <protectedRanges>
    <protectedRange password="CAA2" sqref="D8:D11" name="Summe"/>
  </protectedRanges>
  <customSheetViews>
    <customSheetView guid="{168849A9-FED9-4458-942F-290616B3A25C}" scale="85" showPageBreaks="1" showGridLines="0" fitToPage="1" printArea="1" topLeftCell="A13">
      <selection activeCell="C15" sqref="C15:I15"/>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Potenzial&amp;R&amp;P</oddFooter>
      </headerFooter>
    </customSheetView>
  </customSheetViews>
  <mergeCells count="10">
    <mergeCell ref="C3:D3"/>
    <mergeCell ref="C4:D4"/>
    <mergeCell ref="C15:J15"/>
    <mergeCell ref="C16:J16"/>
    <mergeCell ref="B1:J1"/>
    <mergeCell ref="C17:J17"/>
    <mergeCell ref="B8:B9"/>
    <mergeCell ref="B6:J6"/>
    <mergeCell ref="L7:L17"/>
    <mergeCell ref="B14:J14"/>
  </mergeCells>
  <dataValidations count="3">
    <dataValidation type="whole" operator="greaterThanOrEqual" allowBlank="1" showErrorMessage="1" errorTitle="Fehler" error="Gültig sind nur positive, ganze Zahlen (0, 200, etc.). Kein Text" promptTitle="Ganze Zahlen" prompt="Nur ganzzahlige Werte (0, 1, 200 etc.)" sqref="E8:J10" xr:uid="{00000000-0002-0000-0800-000000000000}">
      <formula1>0</formula1>
    </dataValidation>
    <dataValidation type="date" allowBlank="1" showInputMessage="1" showErrorMessage="1" errorTitle="Erfassungsdatum" error="Bitte geben Sie ein Erfassungsdatum zwischen dem 01.01.2023 und dem 31.12.2023 ein. " promptTitle="Erfassungsdatum" prompt="Bitte Erfassungsdatum eingeben" sqref="C4:D4" xr:uid="{00000000-0002-0000-0800-000001000000}">
      <formula1>44927</formula1>
      <formula2>45291</formula2>
    </dataValidation>
    <dataValidation allowBlank="1" sqref="D11:J11" xr:uid="{00000000-0002-0000-0800-000002000000}"/>
  </dataValidations>
  <pageMargins left="0.70866141732283472" right="0.70866141732283472" top="1.1811023622047245" bottom="0.78740157480314965" header="0.31496062992125984" footer="0.31496062992125984"/>
  <pageSetup paperSize="8" scale="83" fitToHeight="0" orientation="landscape" cellComments="atEnd" r:id="rId2"/>
  <headerFooter>
    <oddFooter>&amp;L&amp;A: Potenzial&amp;R&amp;P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P w D A A B Q S w M E F A A C A A g A c 1 A v U u Y h O u W o A A A A + A A A A B I A H A B D b 2 5 m a W c v U G F j a 2 F n Z S 5 4 b W w g o h g A K K A U A A A A A A A A A A A A A A A A A A A A A A A A A A A A h Y 9 N D o I w G E S v Q r q n f y p R 8 1 E W b F x I Y m J i 3 D Z Q o R G K o c V y N x c e y S t I o q g 7 l z N 5 k 7 x 5 3 O 6 Q D E 0 d X F V n d W t i x D B F g T J 5 W 2 h T x q h 3 p 3 C J E g E 7 m Z 9 l q Y I R N n Y 9 W B 2 j y r n L m h D v P f Y z 3 H Y l 4 Z Q y c s y 2 + 7 x S j Q y 1 s U 6 a X K H P q v i / Q g I O L x n B c c T w g q 0 4 n k c M y F R D p s 0 X 4 a M x p k B + S k j 7 2 v W d E o U K 0 w 2 Q K Q J 5 v x B P U E s D B B Q A A g A I A H N Q L 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z U C 9 S 2 X v I Q f I A A A C v A Q A A E w A c A E Z v c m 1 1 b G F z L 1 N l Y 3 R p b 2 4 x L m 0 g o h g A K K A U A A A A A A A A A A A A A A A A A A A A A A A A A A A A h Z B B a s N A D E X 3 B t 9 B T D c 2 m I A X X Q U v i i k N F E K K D V 0 Y L y a O 0 o S M Z 4 J G A y n G t + k Z e o F c r G O m t N B i o o 1 A + r z / J Y s d H 4 2 G K v R 8 G U d x Z A + S c A f P U r P R C A U o 5 D g C X y 8 O l Z o m j 5 c O 1 a J 0 R K j 5 1 d B p a 8 w p S Y d m L X s s R C 2 3 k / B e t G N T G s 1 e 1 G Y B c S e e 8 P q h d 0 i M B P X 7 W X i c 1 y t c 1 C S 1 3 R v q S 6 N c r / 0 O b R I s s 2 E Q 1 V k q x l x k w H 4 D j B c e x / Q H u 7 p + H j z x D S 2 7 P S O s U H q T X / q G T G 8 Y w 9 g m / 3 N k 0 H x r H p S q O q k k 2 Y L J Y Z v O Z c 9 v h J 9 N N d 0 T / v v n n D g 6 6 l m z 5 R d Q S w E C L Q A U A A I A C A B z U C 9 S 5 i E 6 5 a g A A A D 4 A A A A E g A A A A A A A A A A A A A A A A A A A A A A Q 2 9 u Z m l n L 1 B h Y 2 t h Z 2 U u e G 1 s U E s B A i 0 A F A A C A A g A c 1 A v U g / K 6 a u k A A A A 6 Q A A A B M A A A A A A A A A A A A A A A A A 9 A A A A F t D b 2 5 0 Z W 5 0 X 1 R 5 c G V z X S 5 4 b W x Q S w E C L Q A U A A I A C A B z U C 9 S 2 X v I Q f I A A A C v A Q A A E w A A A A A A A A A A A A A A A A D l A Q A A R m 9 y b X V s Y X M v U 2 V j d G l v b j E u b V B L B Q Y A A A A A A w A D A M I A A A A k 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1 C A A A A A A A A N M 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S 2 F u d G 9 u Z 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S I g L z 4 8 R W 5 0 c n k g V H l w Z T 0 i T m F t Z V V w Z G F 0 Z W R B Z n R l c k Z p b G w i I F Z h b H V l P S J s M C I g L z 4 8 R W 5 0 c n k g V H l w Z T 0 i U m V z d W x 0 V H l w Z S I g V m F s d W U 9 I n N U Y W J s Z S I g L z 4 8 R W 5 0 c n k g V H l w Z T 0 i Q n V m Z m V y T m V 4 d F J l Z n J l c 2 g i I F Z h b H V l P S J s M S I g L z 4 8 R W 5 0 c n k g V H l w Z T 0 i R m l s b G V k Q 2 9 t c G x l d G V S Z X N 1 b H R U b 1 d v c m t z a G V l d C I g V m F s d W U 9 I m w w I i A v P j x F b n R y e S B U e X B l P S J B Z G R l Z F R v R G F 0 Y U 1 v Z G V s I i B W Y W x 1 Z T 0 i b D E i I C 8 + P E V u d H J 5 I F R 5 c G U 9 I k Z p b G x D b 3 V u d C I g V m F s d W U 9 I m w y N i I g L z 4 8 R W 5 0 c n k g V H l w Z T 0 i R m l s b E V y c m 9 y Q 2 9 k Z S I g V m F s d W U 9 I n N V b m t u b 3 d u I i A v P j x F b n R y e S B U e X B l P S J G a W x s R X J y b 3 J D b 3 V u d C I g V m F s d W U 9 I m w w I i A v P j x F b n R y e S B U e X B l P S J G a W x s T G F z d F V w Z G F 0 Z W Q i I F Z h b H V l P S J k M j A y M S 0 w M S 0 x N V Q w O T o w M z o w N i 4 z N T U z N T E 1 W i I g L z 4 8 R W 5 0 c n k g V H l w Z T 0 i R m l s b E N v b H V t b l R 5 c G V z I i B W Y W x 1 Z T 0 i c 0 J n P T 0 i I C 8 + P E V u d H J 5 I F R 5 c G U 9 I k Z p b G x D b 2 x 1 b W 5 O Y W 1 l c y I g V m F s d W U 9 I n N b J n F 1 b 3 Q 7 S 2 F u d G 9 u 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F u d G 9 u Z S 9 H Z c O k b m R l c n R l c i B U e X A x L n t L Y W 5 0 b 2 4 s M H 0 m c X V v d D t d L C Z x d W 9 0 O 0 N v b H V t b k N v d W 5 0 J n F 1 b 3 Q 7 O j E s J n F 1 b 3 Q 7 S 2 V 5 Q 2 9 s d W 1 u T m F t Z X M m c X V v d D s 6 W 1 0 s J n F 1 b 3 Q 7 Q 2 9 s d W 1 u S W R l b n R p d G l l c y Z x d W 9 0 O z p b J n F 1 b 3 Q 7 U 2 V j d G l v b j E v S 2 F u d G 9 u Z S 9 H Z c O k b m R l c n R l c i B U e X A x L n t L Y W 5 0 b 2 4 s M H 0 m c X V v d D t d L C Z x d W 9 0 O 1 J l b G F 0 a W 9 u c 2 h p c E l u Z m 8 m c X V v d D s 6 W 1 1 9 I i A v P j w v U 3 R h Y m x l R W 5 0 c m l l c z 4 8 L 0 l 0 Z W 0 + P E l 0 Z W 0 + P E l 0 Z W 1 M b 2 N h d G l v b j 4 8 S X R l b V R 5 c G U + R m 9 y b X V s Y T w v S X R l b V R 5 c G U + P E l 0 Z W 1 Q Y X R o P l N l Y 3 R p b 2 4 x L 0 t h b n R v b m U v U X V l b G x l P C 9 J d G V t U G F 0 a D 4 8 L 0 l 0 Z W 1 M b 2 N h d G l v b j 4 8 U 3 R h Y m x l R W 5 0 c m l l c y A v P j w v S X R l b T 4 8 S X R l b T 4 8 S X R l b U x v Y 2 F 0 a W 9 u P j x J d G V t V H l w Z T 5 G b 3 J t d W x h P C 9 J d G V t V H l w Z T 4 8 S X R l b V B h d G g + U 2 V j d G l v b j E v S 2 F u d G 9 u Z S 9 H Z S V D M y V B N G 5 k Z X J 0 Z X I l M j B U e X A 8 L 0 l 0 Z W 1 Q Y X R o P j w v S X R l b U x v Y 2 F 0 a W 9 u P j x T d G F i b G V F b n R y a W V z I C 8 + P C 9 J d G V t P j x J d G V t P j x J d G V t T G 9 j Y X R p b 2 4 + P E l 0 Z W 1 U e X B l P k Z v c m 1 1 b G E 8 L 0 l 0 Z W 1 U e X B l P j x J d G V t U G F 0 a D 5 T Z W N 0 a W 9 u M S 9 L Y W 5 0 b 2 5 l L 0 g l Q z M l Q j Z o Z X I l M j B n Z X N 0 d W Z 0 Z S U y M E h l Y W R l c j w v S X R l b V B h d G g + P C 9 J d G V t T G 9 j Y X R p b 2 4 + P F N 0 Y W J s Z U V u d H J p Z X M g L z 4 8 L 0 l 0 Z W 0 + P E l 0 Z W 0 + P E l 0 Z W 1 M b 2 N h d G l v b j 4 8 S X R l b V R 5 c G U + R m 9 y b X V s Y T w v S X R l b V R 5 c G U + P E l 0 Z W 1 Q Y X R o P l N l Y 3 R p b 2 4 x L 0 t h b n R v b m U v R 2 U l Q z M l Q T R u Z G V y d G V y J T I w V H l w M T w v S X R l b V B h d G g + P C 9 J d G V t T G 9 j Y X R p b 2 4 + P F N 0 Y W J s Z U V u d H J p Z X M g L z 4 8 L 0 l 0 Z W 0 + P C 9 J d G V t c z 4 8 L 0 x v Y 2 F s U G F j a 2 F n Z U 1 l d G F k Y X R h R m l s Z T 4 W A A A A U E s F B g A A A A A A A A A A A A A A A A A A A A A A A N o A A A A B A A A A 0 I y d 3 w E V 0 R G M e g D A T 8 K X 6 w E A A A A h R D p 5 8 G J E R K G J q 5 h Q Z u I w A A A A A A I A A A A A A A N m A A D A A A A A E A A A A L k 7 H s i r T A J x C S 0 m k B V a n Z Y A A A A A B I A A A K A A A A A Q A A A A S e 3 U Q 4 s O z B A P d B t 0 P y 8 x s l A A A A B + u X O Q 6 i 4 z u x O F I E m U I d 1 n T m M r D 4 o z H p 3 K w z S 2 q 8 t B O 1 / c Q j w J e P E T i e 6 G 9 r v e h V V l B O l l B U V N P E p r F H 9 5 d 9 h T 3 e o W W c N W O Y 0 p i 6 + C A 4 V Y H x Q A A A C 7 9 L 8 m W g b W q Q 5 H U Q 2 8 l Z c 4 G c t f F Q = = < / D a t a M a s h u p > 
</file>

<file path=customXml/item2.xml><?xml version="1.0" encoding="utf-8"?>
<f:fields xmlns:f="http://schemas.fabasoft.com/folio/2007/fields">
  <f:record ref="">
    <f:field ref="objname" par="" edit="true" text="Raster Kennzahlen IAS V2"/>
    <f:field ref="objsubject" par="" edit="true" text=""/>
    <f:field ref="objcreatedby" par="" text="Steiger, Sebastian, sem-Stsb"/>
    <f:field ref="objcreatedat" par="" text="27.03.2019 11:42:10"/>
    <f:field ref="objchangedby" par="" text="Steiger, Sebastian, sem-Stsb"/>
    <f:field ref="objmodifiedat" par="" text="24.05.2019 15:22:59"/>
    <f:field ref="doc_FSCFOLIO_1_1001_FieldDocumentNumber" par="" text=""/>
    <f:field ref="doc_FSCFOLIO_1_1001_FieldSubject" par="" edit="true" text=""/>
    <f:field ref="FSCFOLIO_1_1001_FieldCurrentUser" par="" text="Tsewang Tsering"/>
    <f:field ref="CCAPRECONFIG_15_1001_Objektname" par="" edit="true" text="Raster Kennzahlen IAS V2"/>
    <f:field ref="CHPRECONFIG_1_1001_Objektname" par="" edit="true" text="Raster Kennzahlen IAS V2"/>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CHPRECONFIG_1_1001_EMailAdresse" text="E-Mail Adresse"/>
    <f:field ref="CHPRECONFIG_1_1001_Nachname" text="Nachname"/>
    <f:field ref="CHPRECONFIG_1_1001_Ort" text="Ort"/>
    <f:field ref="CHPRECONFIG_1_1001_Postleitzahl" text="Postleitzahl"/>
    <f:field ref="CHPRECONFIG_1_1001_Strasse" text="Strasse"/>
    <f:field ref="CHPRECONFIG_1_1001_Titel" text="Titel"/>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721797EF-4BCC-4436-8531-014FB3449107}">
  <ds:schemaRefs>
    <ds:schemaRef ds:uri="http://schemas.microsoft.com/DataMashup"/>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18</vt:i4>
      </vt:variant>
    </vt:vector>
  </HeadingPairs>
  <TitlesOfParts>
    <vt:vector size="33" baseType="lpstr">
      <vt:lpstr>Inhaltsverzeichnis</vt:lpstr>
      <vt:lpstr>KIP Kennzahlen</vt:lpstr>
      <vt:lpstr>Überblick IAS Kennzahlen</vt:lpstr>
      <vt:lpstr>IAS KZ 1</vt:lpstr>
      <vt:lpstr>IAS KZ 2</vt:lpstr>
      <vt:lpstr>IAS KZ 3</vt:lpstr>
      <vt:lpstr>IAS KZ 4</vt:lpstr>
      <vt:lpstr>IAS KZ 5</vt:lpstr>
      <vt:lpstr>IAS KZ 6</vt:lpstr>
      <vt:lpstr>IAS KZ 7</vt:lpstr>
      <vt:lpstr>IAS KZ 8</vt:lpstr>
      <vt:lpstr>IAS KZ 9</vt:lpstr>
      <vt:lpstr>IAS KZ 11a</vt:lpstr>
      <vt:lpstr>IAS KZ 11b</vt:lpstr>
      <vt:lpstr>IAS KZ 14</vt:lpstr>
      <vt:lpstr>bestand_alle</vt:lpstr>
      <vt:lpstr>bestand_ias</vt:lpstr>
      <vt:lpstr>'Grundgesamtheiten IAS ab Mai 19'!Print_Area</vt:lpstr>
      <vt:lpstr>'Grundgesamtheiten IAS alle'!Print_Area</vt:lpstr>
      <vt:lpstr>'IAS KZ 1'!Print_Area</vt:lpstr>
      <vt:lpstr>'IAS KZ 11a'!Print_Area</vt:lpstr>
      <vt:lpstr>'IAS KZ 11b'!Print_Area</vt:lpstr>
      <vt:lpstr>'IAS KZ 2'!Print_Area</vt:lpstr>
      <vt:lpstr>'IAS KZ 3'!Print_Area</vt:lpstr>
      <vt:lpstr>'IAS KZ 4'!Print_Area</vt:lpstr>
      <vt:lpstr>'IAS KZ 5'!Print_Area</vt:lpstr>
      <vt:lpstr>'IAS KZ 6'!Print_Area</vt:lpstr>
      <vt:lpstr>'IAS KZ 7'!Print_Area</vt:lpstr>
      <vt:lpstr>'IAS KZ 8'!Print_Area</vt:lpstr>
      <vt:lpstr>'IAS KZ 9'!Print_Area</vt:lpstr>
      <vt:lpstr>Inhaltsverzeichnis!Print_Area</vt:lpstr>
      <vt:lpstr>'KIP Kennzahlen'!Print_Area</vt:lpstr>
      <vt:lpstr>'Überblick IAS Kennzahlen'!Print_Area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Raster Kennzahlen IAS</dc:title>
  <dc:creator>FBFIS</dc:creator>
  <cp:lastModifiedBy>Alexandra Perréard</cp:lastModifiedBy>
  <cp:lastPrinted>2021-03-04T09:42:05Z</cp:lastPrinted>
  <dcterms:created xsi:type="dcterms:W3CDTF">2019-03-08T14:44:51Z</dcterms:created>
  <dcterms:modified xsi:type="dcterms:W3CDTF">2023-05-17T08:48:39Z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JPDCFG@15.1700:Recipient">
    <vt:lpwstr/>
  </property>
  <property fmtid="{D5CDD505-2E9C-101B-9397-08002B2CF9AE}" pid="3" name="FSC#EJPDCFG@15.1700:RecipientSalutation">
    <vt:lpwstr/>
  </property>
  <property fmtid="{D5CDD505-2E9C-101B-9397-08002B2CF9AE}" pid="4" name="FSC#EJPDCFG@15.1700:RecipientTitle">
    <vt:lpwstr/>
  </property>
  <property fmtid="{D5CDD505-2E9C-101B-9397-08002B2CF9AE}" pid="5" name="FSC#EJPDCFG@15.1700:RecipientFirstname">
    <vt:lpwstr/>
  </property>
  <property fmtid="{D5CDD505-2E9C-101B-9397-08002B2CF9AE}" pid="6" name="FSC#EJPDCFG@15.1700:RecipientSurname">
    <vt:lpwstr/>
  </property>
  <property fmtid="{D5CDD505-2E9C-101B-9397-08002B2CF9AE}" pid="7" name="FSC#EJPDCFG@15.1700:RecipientStreet">
    <vt:lpwstr/>
  </property>
  <property fmtid="{D5CDD505-2E9C-101B-9397-08002B2CF9AE}" pid="8" name="FSC#EJPDCFG@15.1700:RecipientPOBox">
    <vt:lpwstr/>
  </property>
  <property fmtid="{D5CDD505-2E9C-101B-9397-08002B2CF9AE}" pid="9" name="FSC#EJPDCFG@15.1700:RecipientZIPCode">
    <vt:lpwstr/>
  </property>
  <property fmtid="{D5CDD505-2E9C-101B-9397-08002B2CF9AE}" pid="10" name="FSC#EJPDCFG@15.1700:RecipientCity">
    <vt:lpwstr/>
  </property>
  <property fmtid="{D5CDD505-2E9C-101B-9397-08002B2CF9AE}" pid="11" name="FSC#EJPDCFG@15.1700:Recipientcountry">
    <vt:lpwstr/>
  </property>
  <property fmtid="{D5CDD505-2E9C-101B-9397-08002B2CF9AE}" pid="12" name="FSC#EJPDCFG@15.1700:RecipientOrgname">
    <vt:lpwstr/>
  </property>
  <property fmtid="{D5CDD505-2E9C-101B-9397-08002B2CF9AE}" pid="13" name="FSC#EJPDCFG@15.1700:RecipientEMail">
    <vt:lpwstr/>
  </property>
  <property fmtid="{D5CDD505-2E9C-101B-9397-08002B2CF9AE}" pid="14" name="FSC#EJPDCFG@15.1700:RecipientContactSalutation">
    <vt:lpwstr/>
  </property>
  <property fmtid="{D5CDD505-2E9C-101B-9397-08002B2CF9AE}" pid="15" name="FSC#EJPDCFG@15.1700:RecipientContactFirstname">
    <vt:lpwstr/>
  </property>
  <property fmtid="{D5CDD505-2E9C-101B-9397-08002B2CF9AE}" pid="16" name="FSC#EJPDCFG@15.1700:RecipientContactSurname">
    <vt:lpwstr/>
  </property>
  <property fmtid="{D5CDD505-2E9C-101B-9397-08002B2CF9AE}" pid="17" name="FSC#EJPDCFG@15.1700:RecipientDate">
    <vt:lpwstr/>
  </property>
  <property fmtid="{D5CDD505-2E9C-101B-9397-08002B2CF9AE}" pid="18" name="FSC#EJPDCFG@15.1700:SubfileTitle">
    <vt:lpwstr>Kennzahlen IAS</vt:lpwstr>
  </property>
  <property fmtid="{D5CDD505-2E9C-101B-9397-08002B2CF9AE}" pid="19" name="FSC#EJPDCFG@15.1700:SubfileSubject">
    <vt:lpwstr>Kennzahlen IAS</vt:lpwstr>
  </property>
  <property fmtid="{D5CDD505-2E9C-101B-9397-08002B2CF9AE}" pid="20" name="FSC#EJPDCFG@15.1700:SubfileDossierRef">
    <vt:lpwstr>545-00/2018/00001</vt:lpwstr>
  </property>
  <property fmtid="{D5CDD505-2E9C-101B-9397-08002B2CF9AE}" pid="21" name="FSC#EJPDCFG@15.1700:SubfileResponsibleFirstname">
    <vt:lpwstr>Sebastian</vt:lpwstr>
  </property>
  <property fmtid="{D5CDD505-2E9C-101B-9397-08002B2CF9AE}" pid="22" name="FSC#EJPDCFG@15.1700:SubfileResponsibleSurname">
    <vt:lpwstr>Steiger</vt:lpwstr>
  </property>
  <property fmtid="{D5CDD505-2E9C-101B-9397-08002B2CF9AE}" pid="23" name="FSC#EJPDCFG@15.1700:SubfileResponsibleProfession">
    <vt:lpwstr/>
  </property>
  <property fmtid="{D5CDD505-2E9C-101B-9397-08002B2CF9AE}" pid="24" name="FSC#EJPDCFG@15.1700:SubfileResponsibleInitials">
    <vt:lpwstr>sem-Stsb</vt:lpwstr>
  </property>
  <property fmtid="{D5CDD505-2E9C-101B-9397-08002B2CF9AE}" pid="25" name="FSC#EJPDCFG@15.1700:AssignmentCommentHistory">
    <vt:lpwstr/>
  </property>
  <property fmtid="{D5CDD505-2E9C-101B-9397-08002B2CF9AE}" pid="26" name="FSC#EJPDCFG@15.1700:AssignmentDefaultComment">
    <vt:lpwstr/>
  </property>
  <property fmtid="{D5CDD505-2E9C-101B-9397-08002B2CF9AE}" pid="27" name="FSC#EJPDCFG@15.1700:AssignmentRemarks">
    <vt:lpwstr/>
  </property>
  <property fmtid="{D5CDD505-2E9C-101B-9397-08002B2CF9AE}" pid="28" name="FSC#EJPDCFG@15.1700:AssignmentExternalDate">
    <vt:lpwstr/>
  </property>
  <property fmtid="{D5CDD505-2E9C-101B-9397-08002B2CF9AE}" pid="29" name="FSC#EJPDCFG@15.1700:AssignmentProcessingDeadline">
    <vt:lpwstr/>
  </property>
  <property fmtid="{D5CDD505-2E9C-101B-9397-08002B2CF9AE}" pid="30" name="FSC#EJPDCFG@15.1700:AssignmentPlacingPosition">
    <vt:lpwstr/>
  </property>
  <property fmtid="{D5CDD505-2E9C-101B-9397-08002B2CF9AE}" pid="31" name="FSC#EJPDCFG@15.1700:AssignmentResponsible">
    <vt:lpwstr/>
  </property>
  <property fmtid="{D5CDD505-2E9C-101B-9397-08002B2CF9AE}" pid="32" name="FSC#EJPDCFG@15.1700:AssignmentUsers">
    <vt:lpwstr/>
  </property>
  <property fmtid="{D5CDD505-2E9C-101B-9397-08002B2CF9AE}" pid="33" name="FSC#EJPDCFG@15.1700:AssignmentUsersDone">
    <vt:lpwstr/>
  </property>
  <property fmtid="{D5CDD505-2E9C-101B-9397-08002B2CF9AE}" pid="34" name="FSC#EJPDCFG@15.1700:SubfileClassification">
    <vt:lpwstr>Nicht klassifiziert</vt:lpwstr>
  </property>
  <property fmtid="{D5CDD505-2E9C-101B-9397-08002B2CF9AE}" pid="35" name="FSC#EJPDCFG@15.1700:Department">
    <vt:lpwstr>Direktion</vt:lpwstr>
  </property>
  <property fmtid="{D5CDD505-2E9C-101B-9397-08002B2CF9AE}" pid="36" name="FSC#EJPDCFG@15.1700:DepartmentShort">
    <vt:lpwstr>DIR</vt:lpwstr>
  </property>
  <property fmtid="{D5CDD505-2E9C-101B-9397-08002B2CF9AE}" pid="37" name="FSC#EJPDCFG@15.1700:HierarchyFirstLevel">
    <vt:lpwstr>Direktion</vt:lpwstr>
  </property>
  <property fmtid="{D5CDD505-2E9C-101B-9397-08002B2CF9AE}" pid="38" name="FSC#EJPDCFG@15.1700:HierarchyFirstLevelShort">
    <vt:lpwstr>DIR</vt:lpwstr>
  </property>
  <property fmtid="{D5CDD505-2E9C-101B-9397-08002B2CF9AE}" pid="39" name="FSC#EJPDCFG@15.1700:HierarchySecondLevel">
    <vt:lpwstr>Direktionsbereich Zuwanderung und Integration</vt:lpwstr>
  </property>
  <property fmtid="{D5CDD505-2E9C-101B-9397-08002B2CF9AE}" pid="40" name="FSC#EJPDCFG@15.1700:HierarchyThirdLevel">
    <vt:lpwstr>Abteilung Integration</vt:lpwstr>
  </property>
  <property fmtid="{D5CDD505-2E9C-101B-9397-08002B2CF9AE}" pid="41" name="FSC#EJPDCFG@15.1700:HierarchyFourthLevel">
    <vt:lpwstr>Sektion Integrationsförderung</vt:lpwstr>
  </property>
  <property fmtid="{D5CDD505-2E9C-101B-9397-08002B2CF9AE}" pid="42" name="FSC#EJPDCFG@15.1700:HierarchyFifthLevel">
    <vt:lpwstr/>
  </property>
  <property fmtid="{D5CDD505-2E9C-101B-9397-08002B2CF9AE}" pid="43" name="FSC#EJPDCFG@15.1700:ObjaddressContentObject">
    <vt:lpwstr>COO.2180.101.5.519576</vt:lpwstr>
  </property>
  <property fmtid="{D5CDD505-2E9C-101B-9397-08002B2CF9AE}" pid="44" name="FSC#EJPDCFG@15.1700:SubfileResponsibleSalutation">
    <vt:lpwstr/>
  </property>
  <property fmtid="{D5CDD505-2E9C-101B-9397-08002B2CF9AE}" pid="45" name="FSC#EJPDCFG@15.1700:SubfileResponsibleTelOffice">
    <vt:lpwstr>+41 58 467 64 72</vt:lpwstr>
  </property>
  <property fmtid="{D5CDD505-2E9C-101B-9397-08002B2CF9AE}" pid="46" name="FSC#EJPDCFG@15.1700:SubfileResponsibleTelFax">
    <vt:lpwstr>+41 58 462 78 32</vt:lpwstr>
  </property>
  <property fmtid="{D5CDD505-2E9C-101B-9397-08002B2CF9AE}" pid="47" name="FSC#EJPDCFG@15.1700:SubfileResponsibleEmail">
    <vt:lpwstr>sebastian.steiger@sem.admin.ch</vt:lpwstr>
  </property>
  <property fmtid="{D5CDD505-2E9C-101B-9397-08002B2CF9AE}" pid="48" name="FSC#EJPDCFG@15.1700:SubfileResponsibleUrl">
    <vt:lpwstr>http://www.sem.admin.ch</vt:lpwstr>
  </property>
  <property fmtid="{D5CDD505-2E9C-101B-9397-08002B2CF9AE}" pid="49" name="FSC#EJPDCFG@15.1700:SubfileResponsibleAddress">
    <vt:lpwstr>Quellenweg 9, 3003 Bern-Wabern</vt:lpwstr>
  </property>
  <property fmtid="{D5CDD505-2E9C-101B-9397-08002B2CF9AE}" pid="50" name="FSC#EJPDCFG@15.1700:FileRefOU">
    <vt:lpwstr>Abteilung Integration</vt:lpwstr>
  </property>
  <property fmtid="{D5CDD505-2E9C-101B-9397-08002B2CF9AE}" pid="51" name="FSC#EJPDCFG@15.1700:OU">
    <vt:lpwstr>Abteilung Integration</vt:lpwstr>
  </property>
  <property fmtid="{D5CDD505-2E9C-101B-9397-08002B2CF9AE}" pid="52" name="FSC#EJPDCFG@15.1700:Department2">
    <vt:lpwstr>Sektion Integrationsförderung</vt:lpwstr>
  </property>
  <property fmtid="{D5CDD505-2E9C-101B-9397-08002B2CF9AE}" pid="53" name="FSC#EJPDIMPORT@100.2000:Recipient">
    <vt:lpwstr/>
  </property>
  <property fmtid="{D5CDD505-2E9C-101B-9397-08002B2CF9AE}" pid="54" name="FSC#EJPDIMPORT@100.2000:PersonnelBirthday">
    <vt:lpwstr/>
  </property>
  <property fmtid="{D5CDD505-2E9C-101B-9397-08002B2CF9AE}" pid="55" name="FSC#EJPDIMPORT@100.2000:PersonnelProfession">
    <vt:lpwstr/>
  </property>
  <property fmtid="{D5CDD505-2E9C-101B-9397-08002B2CF9AE}" pid="56" name="FSC#EJPDIMPORT@100.2000:PersonnelOrgAddress">
    <vt:lpwstr/>
  </property>
  <property fmtid="{D5CDD505-2E9C-101B-9397-08002B2CF9AE}" pid="57" name="FSC#EJPDIMPORT@100.2000:PersonnelOrgname">
    <vt:lpwstr/>
  </property>
  <property fmtid="{D5CDD505-2E9C-101B-9397-08002B2CF9AE}" pid="58" name="FSC#EJPDIMPORT@100.2000:PersonnelFirstname">
    <vt:lpwstr/>
  </property>
  <property fmtid="{D5CDD505-2E9C-101B-9397-08002B2CF9AE}" pid="59" name="FSC#EJPDIMPORT@100.2000:PersonnelSurname">
    <vt:lpwstr/>
  </property>
  <property fmtid="{D5CDD505-2E9C-101B-9397-08002B2CF9AE}" pid="60" name="FSC#EJPDIMPORT@100.2000:PersonnelAddress">
    <vt:lpwstr/>
  </property>
  <property fmtid="{D5CDD505-2E9C-101B-9397-08002B2CF9AE}" pid="61" name="FSC#COOELAK@1.1001:Subject">
    <vt:lpwstr/>
  </property>
  <property fmtid="{D5CDD505-2E9C-101B-9397-08002B2CF9AE}" pid="62" name="FSC#COOELAK@1.1001:FileReference">
    <vt:lpwstr>545-00/2018/05813</vt:lpwstr>
  </property>
  <property fmtid="{D5CDD505-2E9C-101B-9397-08002B2CF9AE}" pid="63" name="FSC#COOELAK@1.1001:FileRefYear">
    <vt:lpwstr>2018</vt:lpwstr>
  </property>
  <property fmtid="{D5CDD505-2E9C-101B-9397-08002B2CF9AE}" pid="64" name="FSC#COOELAK@1.1001:FileRefOrdinal">
    <vt:lpwstr>5813</vt:lpwstr>
  </property>
  <property fmtid="{D5CDD505-2E9C-101B-9397-08002B2CF9AE}" pid="65" name="FSC#COOELAK@1.1001:FileRefOU">
    <vt:lpwstr>AI</vt:lpwstr>
  </property>
  <property fmtid="{D5CDD505-2E9C-101B-9397-08002B2CF9AE}" pid="66" name="FSC#COOELAK@1.1001:Organization">
    <vt:lpwstr/>
  </property>
  <property fmtid="{D5CDD505-2E9C-101B-9397-08002B2CF9AE}" pid="67" name="FSC#COOELAK@1.1001:Owner">
    <vt:lpwstr>Steiger Sebastian</vt:lpwstr>
  </property>
  <property fmtid="{D5CDD505-2E9C-101B-9397-08002B2CF9AE}" pid="68" name="FSC#COOELAK@1.1001:OwnerExtension">
    <vt:lpwstr>+41 58 467 64 72</vt:lpwstr>
  </property>
  <property fmtid="{D5CDD505-2E9C-101B-9397-08002B2CF9AE}" pid="69" name="FSC#COOELAK@1.1001:OwnerFaxExtension">
    <vt:lpwstr>+41 58 462 78 32</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Sektion Integrationsförderung (SIF)</vt:lpwstr>
  </property>
  <property fmtid="{D5CDD505-2E9C-101B-9397-08002B2CF9AE}" pid="75" name="FSC#COOELAK@1.1001:CreatedAt">
    <vt:lpwstr>27.03.2019</vt:lpwstr>
  </property>
  <property fmtid="{D5CDD505-2E9C-101B-9397-08002B2CF9AE}" pid="76" name="FSC#COOELAK@1.1001:OU">
    <vt:lpwstr>Abteilung Integration (AI)</vt:lpwstr>
  </property>
  <property fmtid="{D5CDD505-2E9C-101B-9397-08002B2CF9AE}" pid="77" name="FSC#COOELAK@1.1001:Priority">
    <vt:lpwstr> ()</vt:lpwstr>
  </property>
  <property fmtid="{D5CDD505-2E9C-101B-9397-08002B2CF9AE}" pid="78" name="FSC#COOELAK@1.1001:ObjBarCode">
    <vt:lpwstr>*COO.2180.101.5.519576*</vt:lpwstr>
  </property>
  <property fmtid="{D5CDD505-2E9C-101B-9397-08002B2CF9AE}" pid="79" name="FSC#COOELAK@1.1001:RefBarCode">
    <vt:lpwstr>*COO.2180.101.8.2500992*</vt:lpwstr>
  </property>
  <property fmtid="{D5CDD505-2E9C-101B-9397-08002B2CF9AE}" pid="80" name="FSC#COOELAK@1.1001:FileRefBarCode">
    <vt:lpwstr>*545-00/2018/05813*</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
  </property>
  <property fmtid="{D5CDD505-2E9C-101B-9397-08002B2CF9AE}" pid="85" name="FSC#COOELAK@1.1001:ProcessResponsiblePhone">
    <vt:lpwstr/>
  </property>
  <property fmtid="{D5CDD505-2E9C-101B-9397-08002B2CF9AE}" pid="86" name="FSC#COOELAK@1.1001:ProcessResponsibleMail">
    <vt:lpwstr/>
  </property>
  <property fmtid="{D5CDD505-2E9C-101B-9397-08002B2CF9AE}" pid="87" name="FSC#COOELAK@1.1001:ProcessResponsibleFax">
    <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545-00</vt:lpwstr>
  </property>
  <property fmtid="{D5CDD505-2E9C-101B-9397-08002B2CF9AE}" pid="94" name="FSC#COOELAK@1.1001:CurrentUserRolePos">
    <vt:lpwstr>Sachbearbeiter/in</vt:lpwstr>
  </property>
  <property fmtid="{D5CDD505-2E9C-101B-9397-08002B2CF9AE}" pid="95" name="FSC#COOELAK@1.1001:CurrentUserEmail">
    <vt:lpwstr>tsewang.tsering@sem.admin.ch</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Sebastian Steiger</vt:lpwstr>
  </property>
  <property fmtid="{D5CDD505-2E9C-101B-9397-08002B2CF9AE}" pid="103" name="FSC#ATSTATECFG@1.1001:AgentPhone">
    <vt:lpwstr>+41 58 467 64 72</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545-00/2018/00001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OOSYSTEM@1.1:Container">
    <vt:lpwstr>COO.2180.101.5.519576</vt:lpwstr>
  </property>
  <property fmtid="{D5CDD505-2E9C-101B-9397-08002B2CF9AE}" pid="125" name="FSC#FSCFOLIO@1.1001:docpropproject">
    <vt:lpwstr/>
  </property>
</Properties>
</file>