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ejpd.intra.admin.ch\Userhome$\BFM-01\U80853344\Config\Desktop\"/>
    </mc:Choice>
  </mc:AlternateContent>
  <xr:revisionPtr revIDLastSave="0" documentId="8_{D8385FD1-61B9-4750-B371-0E0F64D9A638}" xr6:coauthVersionLast="47" xr6:coauthVersionMax="47" xr10:uidLastSave="{00000000-0000-0000-0000-000000000000}"/>
  <workbookProtection workbookAlgorithmName="SHA-512" workbookHashValue="2Cq8IcGQw6U6w/gwcCLdVdyKDWsG1LJOG8mwuqrgFbBwlGY5YUzYhpLpzVc5Q1lqoiLPQeGiw/AJCNJfgExRmg==" workbookSaltValue="T6AXXPLy26UZcbP0PZYhmQ==" workbookSpinCount="100000" lockStructure="1"/>
  <bookViews>
    <workbookView xWindow="-110" yWindow="-110" windowWidth="19420" windowHeight="10420" firstSheet="1" activeTab="1" xr2:uid="{00000000-000D-0000-FFFF-FFFF00000000}"/>
  </bookViews>
  <sheets>
    <sheet name="Dropdownlisten" sheetId="1" state="veryHidden" r:id="rId1"/>
    <sheet name="Indice" sheetId="3" r:id="rId2"/>
    <sheet name="Indicatori PIC" sheetId="4" r:id="rId3"/>
    <sheet name="Sintesi Indicatori AIS" sheetId="5" r:id="rId4"/>
    <sheet name="Ind AIS N°1" sheetId="6" r:id="rId5"/>
    <sheet name="Ind AIS N°2" sheetId="7" r:id="rId6"/>
    <sheet name="Ind AIS N°3" sheetId="8" r:id="rId7"/>
    <sheet name="Ind AIS N°4" sheetId="9" r:id="rId8"/>
    <sheet name="Ind AIS N°5" sheetId="10" r:id="rId9"/>
    <sheet name="Ind AIS N°6" sheetId="11" r:id="rId10"/>
    <sheet name="Ind AIS N°7" sheetId="12" r:id="rId11"/>
    <sheet name="Ind AIS N°8" sheetId="13" r:id="rId12"/>
    <sheet name="Ind AIS N°9" sheetId="14" r:id="rId13"/>
    <sheet name="Ind AIS N°11a" sheetId="16" r:id="rId14"/>
    <sheet name="Ind AIS N°11b" sheetId="17" r:id="rId15"/>
    <sheet name="Ind AIS N°14" sheetId="18" r:id="rId16"/>
    <sheet name="Pop_stat AIS Decisioni 1.5.19" sheetId="19" state="veryHidden" r:id="rId17"/>
    <sheet name="Pop_stat AIS Effettivo" sheetId="20" state="veryHidden" r:id="rId18"/>
  </sheets>
  <definedNames>
    <definedName name="bestand_alle">'Pop_stat AIS Effettivo'!$A$5:$AF$34</definedName>
    <definedName name="bestand_ias">'Pop_stat AIS Decisioni 1.5.19'!$A$5:$AJ$34</definedName>
    <definedName name="Print_Area" localSheetId="4">'Ind AIS N°1'!$A$1:$L$16</definedName>
    <definedName name="Print_Area" localSheetId="13">'Ind AIS N°11a'!$A$1:$N$17</definedName>
    <definedName name="Print_Area" localSheetId="14">'Ind AIS N°11b'!$A$1:$O$17</definedName>
    <definedName name="Print_Area" localSheetId="5">'Ind AIS N°2'!$A$1:$L$21</definedName>
    <definedName name="Print_Area" localSheetId="6">'Ind AIS N°3'!$A$1:$M$18</definedName>
    <definedName name="Print_Area" localSheetId="7">'Ind AIS N°4'!$A$1:$M$16</definedName>
    <definedName name="Print_Area" localSheetId="8">'Ind AIS N°5'!$A$1:$M$18</definedName>
    <definedName name="Print_Area" localSheetId="9">'Ind AIS N°6'!$A$1:$L$16</definedName>
    <definedName name="Print_Area" localSheetId="10">'Ind AIS N°7'!$A$1:$O$17</definedName>
    <definedName name="Print_Area" localSheetId="11">'Ind AIS N°8'!$A$1:$P$18</definedName>
    <definedName name="Print_Area" localSheetId="12">'Ind AIS N°9'!$A$1:$N$18</definedName>
    <definedName name="Print_Area" localSheetId="2">'Indicatori PIC'!$A$1:$L$14</definedName>
    <definedName name="Print_Area" localSheetId="1">Indice!$A$1:$H$32</definedName>
    <definedName name="Print_Area" localSheetId="16">'Pop_stat AIS Decisioni 1.5.19'!$A$1:$AJ$34</definedName>
    <definedName name="Print_Area" localSheetId="17">'Pop_stat AIS Effettivo'!$A$1:$AF$34</definedName>
    <definedName name="Print_Area" localSheetId="3">'Sintesi Indicatori AIS'!$A$1:$P$35</definedName>
    <definedName name="Z_168849A9_FED9_4458_942F_290616B3A25C_.wvu.PrintArea" localSheetId="4" hidden="1">'Ind AIS N°1'!$A$1:$L$16</definedName>
    <definedName name="Z_168849A9_FED9_4458_942F_290616B3A25C_.wvu.PrintArea" localSheetId="13" hidden="1">'Ind AIS N°11a'!$A$1:$N$17</definedName>
    <definedName name="Z_168849A9_FED9_4458_942F_290616B3A25C_.wvu.PrintArea" localSheetId="14" hidden="1">'Ind AIS N°11b'!$A$1:$O$17</definedName>
    <definedName name="Z_168849A9_FED9_4458_942F_290616B3A25C_.wvu.PrintArea" localSheetId="5" hidden="1">'Ind AIS N°2'!$A$1:$L$21</definedName>
    <definedName name="Z_168849A9_FED9_4458_942F_290616B3A25C_.wvu.PrintArea" localSheetId="6" hidden="1">'Ind AIS N°3'!$A$1:$M$18</definedName>
    <definedName name="Z_168849A9_FED9_4458_942F_290616B3A25C_.wvu.PrintArea" localSheetId="7" hidden="1">'Ind AIS N°4'!$A$1:$M$16</definedName>
    <definedName name="Z_168849A9_FED9_4458_942F_290616B3A25C_.wvu.PrintArea" localSheetId="8" hidden="1">'Ind AIS N°5'!$A$1:$M$18</definedName>
    <definedName name="Z_168849A9_FED9_4458_942F_290616B3A25C_.wvu.PrintArea" localSheetId="9" hidden="1">'Ind AIS N°6'!$A$1:$L$16</definedName>
    <definedName name="Z_168849A9_FED9_4458_942F_290616B3A25C_.wvu.PrintArea" localSheetId="10" hidden="1">'Ind AIS N°7'!$A$1:$O$17</definedName>
    <definedName name="Z_168849A9_FED9_4458_942F_290616B3A25C_.wvu.PrintArea" localSheetId="11" hidden="1">'Ind AIS N°8'!$A$1:$P$18</definedName>
    <definedName name="Z_168849A9_FED9_4458_942F_290616B3A25C_.wvu.PrintArea" localSheetId="12" hidden="1">'Ind AIS N°9'!$A$1:$N$18</definedName>
    <definedName name="Z_168849A9_FED9_4458_942F_290616B3A25C_.wvu.PrintArea" localSheetId="2" hidden="1">'Indicatori PIC'!$A$1:$L$14</definedName>
    <definedName name="Z_168849A9_FED9_4458_942F_290616B3A25C_.wvu.PrintArea" localSheetId="1" hidden="1">Indice!$A$1:$H$32</definedName>
    <definedName name="Z_168849A9_FED9_4458_942F_290616B3A25C_.wvu.PrintArea" localSheetId="16" hidden="1">'Pop_stat AIS Decisioni 1.5.19'!$A$1:$AJ$34</definedName>
    <definedName name="Z_168849A9_FED9_4458_942F_290616B3A25C_.wvu.PrintArea" localSheetId="17" hidden="1">'Pop_stat AIS Effettivo'!$A$1:$AF$34</definedName>
    <definedName name="Z_168849A9_FED9_4458_942F_290616B3A25C_.wvu.PrintArea" localSheetId="3" hidden="1">'Sintesi Indicatori AIS'!$A$1:$P$35</definedName>
    <definedName name="Z_168849A9_FED9_4458_942F_290616B3A25C_.wvu.Rows" localSheetId="16" hidden="1">'Pop_stat AIS Decisioni 1.5.19'!$36:$36</definedName>
    <definedName name="Z_168849A9_FED9_4458_942F_290616B3A25C_.wvu.Rows" localSheetId="17" hidden="1">'Pop_stat AIS Effettivo'!$36:$36</definedName>
  </definedNames>
  <calcPr calcId="191029"/>
  <customWorkbookViews>
    <customWorkbookView name="Corina Bürgi - Persönliche Ansicht" guid="{168849A9-FED9-4458-942F-290616B3A25C}" mergeInterval="0" personalView="1" maximized="1" xWindow="2869" yWindow="-9" windowWidth="2902" windowHeight="1582" activeSheetId="1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4" i="5" l="1"/>
  <c r="G30" i="5"/>
  <c r="G31" i="5"/>
  <c r="G27" i="5"/>
  <c r="G24" i="5"/>
  <c r="G23" i="5"/>
  <c r="G20" i="5"/>
  <c r="G16" i="5"/>
  <c r="G13" i="5"/>
  <c r="G17" i="5"/>
  <c r="G15" i="5"/>
  <c r="G14" i="5"/>
  <c r="G12" i="5"/>
  <c r="G9" i="5"/>
  <c r="G8" i="5"/>
  <c r="C8" i="6" l="1"/>
  <c r="C8" i="18" l="1"/>
  <c r="C8" i="17"/>
  <c r="C8" i="16"/>
  <c r="C8" i="14"/>
  <c r="C8" i="13"/>
  <c r="C8" i="12"/>
  <c r="C8" i="11"/>
  <c r="D10" i="10"/>
  <c r="D9" i="10"/>
  <c r="D8" i="10"/>
  <c r="C8" i="9"/>
  <c r="D8" i="8"/>
  <c r="D10" i="8"/>
  <c r="D9" i="8"/>
  <c r="D10" i="7"/>
  <c r="D11" i="7"/>
  <c r="D9" i="7"/>
  <c r="D8" i="7"/>
  <c r="J34" i="5"/>
  <c r="J31" i="5"/>
  <c r="J30" i="5"/>
  <c r="J27" i="5"/>
  <c r="J23" i="5"/>
  <c r="J17" i="5"/>
  <c r="J16" i="5"/>
  <c r="J15" i="5"/>
  <c r="J14" i="5"/>
  <c r="J13" i="5"/>
  <c r="J12" i="5"/>
  <c r="J11" i="5"/>
  <c r="J10" i="5"/>
  <c r="J9" i="5"/>
  <c r="J8" i="5"/>
  <c r="G10" i="10"/>
  <c r="G10" i="8"/>
  <c r="G12" i="7"/>
  <c r="H8" i="5" l="1"/>
  <c r="I8" i="5"/>
  <c r="K8" i="5"/>
  <c r="L8" i="5"/>
  <c r="M8" i="5"/>
  <c r="H9" i="5"/>
  <c r="I9" i="5"/>
  <c r="K9" i="5"/>
  <c r="L9" i="5"/>
  <c r="M9" i="5"/>
  <c r="H10" i="5"/>
  <c r="I10" i="5"/>
  <c r="K10" i="5"/>
  <c r="L10" i="5"/>
  <c r="M10" i="5"/>
  <c r="H11" i="5"/>
  <c r="I11" i="5"/>
  <c r="G11" i="5" s="1"/>
  <c r="K11" i="5"/>
  <c r="L11" i="5"/>
  <c r="M11" i="5"/>
  <c r="H12" i="5"/>
  <c r="I12" i="5"/>
  <c r="K12" i="5"/>
  <c r="L12" i="5"/>
  <c r="M12" i="5"/>
  <c r="H13" i="5"/>
  <c r="I13" i="5"/>
  <c r="K13" i="5"/>
  <c r="L13" i="5"/>
  <c r="M13" i="5"/>
  <c r="H14" i="5"/>
  <c r="I14" i="5"/>
  <c r="K14" i="5"/>
  <c r="L14" i="5"/>
  <c r="M14" i="5"/>
  <c r="H15" i="5"/>
  <c r="I15" i="5"/>
  <c r="K15" i="5"/>
  <c r="L15" i="5"/>
  <c r="M15" i="5"/>
  <c r="H16" i="5"/>
  <c r="I16" i="5"/>
  <c r="K16" i="5"/>
  <c r="L16" i="5"/>
  <c r="M16" i="5"/>
  <c r="H17" i="5"/>
  <c r="I17" i="5"/>
  <c r="K17" i="5"/>
  <c r="L17" i="5"/>
  <c r="M17" i="5"/>
  <c r="H20" i="5"/>
  <c r="I20" i="5"/>
  <c r="K20" i="5"/>
  <c r="L20" i="5"/>
  <c r="M20" i="5"/>
  <c r="H23" i="5"/>
  <c r="I23" i="5"/>
  <c r="K23" i="5"/>
  <c r="L23" i="5"/>
  <c r="M23" i="5"/>
  <c r="H24" i="5"/>
  <c r="I24" i="5"/>
  <c r="K24" i="5"/>
  <c r="L24" i="5"/>
  <c r="M24" i="5"/>
  <c r="H27" i="5"/>
  <c r="I27" i="5"/>
  <c r="K27" i="5"/>
  <c r="L27" i="5"/>
  <c r="M27" i="5"/>
  <c r="H30" i="5"/>
  <c r="I30" i="5"/>
  <c r="K30" i="5"/>
  <c r="L30" i="5"/>
  <c r="M30" i="5"/>
  <c r="H31" i="5"/>
  <c r="I31" i="5"/>
  <c r="K31" i="5"/>
  <c r="L31" i="5"/>
  <c r="M31" i="5"/>
  <c r="H34" i="5"/>
  <c r="I34" i="5"/>
  <c r="K34" i="5"/>
  <c r="L34" i="5"/>
  <c r="M34" i="5"/>
  <c r="G10" i="5" l="1"/>
  <c r="F36" i="19"/>
  <c r="C36" i="19"/>
  <c r="AE36" i="20" l="1"/>
  <c r="AB36" i="20"/>
  <c r="Z36" i="20"/>
  <c r="W36" i="20"/>
  <c r="U36" i="20"/>
  <c r="R36" i="20"/>
  <c r="M36" i="20"/>
  <c r="K36" i="20"/>
  <c r="H36" i="20"/>
  <c r="F36" i="20"/>
  <c r="C36" i="20"/>
  <c r="AI36" i="19"/>
  <c r="AF36" i="19"/>
  <c r="AD36" i="19"/>
  <c r="AA36" i="19"/>
  <c r="Y36" i="19"/>
  <c r="V36" i="19"/>
  <c r="T36" i="19"/>
  <c r="Q36" i="19"/>
  <c r="O36" i="19"/>
  <c r="M36" i="19"/>
  <c r="H36" i="19"/>
  <c r="K36" i="19"/>
  <c r="O34" i="5" l="1"/>
  <c r="N34" i="5"/>
  <c r="O31" i="5"/>
  <c r="N31" i="5"/>
  <c r="O30" i="5"/>
  <c r="N30" i="5"/>
  <c r="O27" i="5"/>
  <c r="N27" i="5"/>
  <c r="O24" i="5"/>
  <c r="N24" i="5"/>
  <c r="O23" i="5"/>
  <c r="N23" i="5"/>
  <c r="P36" i="20" l="1"/>
  <c r="C3" i="18" l="1"/>
  <c r="C3" i="17"/>
  <c r="C3" i="16"/>
  <c r="C3" i="14"/>
  <c r="C3" i="13"/>
  <c r="C3" i="12"/>
  <c r="C3" i="11"/>
  <c r="C3" i="10"/>
  <c r="C3" i="9"/>
  <c r="C3" i="8"/>
  <c r="C3" i="7"/>
  <c r="C3" i="6"/>
  <c r="F2" i="4"/>
  <c r="E2" i="5" s="1"/>
  <c r="I9" i="6" l="1"/>
  <c r="F9" i="6"/>
  <c r="H9" i="6"/>
  <c r="G13" i="7"/>
  <c r="J13" i="7"/>
  <c r="I13" i="7"/>
  <c r="J11" i="8"/>
  <c r="I11" i="8"/>
  <c r="G11" i="8"/>
  <c r="F9" i="9"/>
  <c r="I9" i="9"/>
  <c r="H9" i="9"/>
  <c r="I10" i="18"/>
  <c r="E9" i="18"/>
  <c r="H10" i="18"/>
  <c r="D9" i="18"/>
  <c r="F10" i="18"/>
  <c r="E10" i="18"/>
  <c r="D10" i="18"/>
  <c r="I9" i="18"/>
  <c r="H9" i="18"/>
  <c r="F9" i="18"/>
  <c r="G11" i="10"/>
  <c r="J11" i="10"/>
  <c r="I11" i="10"/>
  <c r="H11" i="13"/>
  <c r="G11" i="13"/>
  <c r="D11" i="13"/>
  <c r="H10" i="13"/>
  <c r="G10" i="13"/>
  <c r="D10" i="13"/>
  <c r="E11" i="13"/>
  <c r="E10" i="13"/>
  <c r="I10" i="14"/>
  <c r="H10" i="14"/>
  <c r="F10" i="14"/>
  <c r="E11" i="14"/>
  <c r="I11" i="14"/>
  <c r="D11" i="14"/>
  <c r="F11" i="14"/>
  <c r="H11" i="14"/>
  <c r="E10" i="14"/>
  <c r="D10" i="14"/>
  <c r="F10" i="16"/>
  <c r="E10" i="16"/>
  <c r="D10" i="16"/>
  <c r="F9" i="16"/>
  <c r="I10" i="16"/>
  <c r="E9" i="16"/>
  <c r="H10" i="16"/>
  <c r="D9" i="16"/>
  <c r="H9" i="16"/>
  <c r="I9" i="16"/>
  <c r="H9" i="17"/>
  <c r="F9" i="17"/>
  <c r="I10" i="17"/>
  <c r="E9" i="17"/>
  <c r="H10" i="17"/>
  <c r="D9" i="17"/>
  <c r="F10" i="17"/>
  <c r="I9" i="17"/>
  <c r="E10" i="17"/>
  <c r="D10" i="17"/>
  <c r="H9" i="11"/>
  <c r="F9" i="11"/>
  <c r="I9" i="11"/>
  <c r="I9" i="12"/>
  <c r="D9" i="12"/>
  <c r="F9" i="12"/>
  <c r="H9" i="12"/>
  <c r="E9" i="12"/>
  <c r="F10" i="12"/>
  <c r="H10" i="12"/>
  <c r="I10" i="12"/>
  <c r="E10" i="12"/>
  <c r="D10" i="12"/>
  <c r="E9" i="6"/>
  <c r="D9" i="6"/>
  <c r="F11" i="8"/>
  <c r="E11" i="8"/>
  <c r="E9" i="9"/>
  <c r="D9" i="9"/>
  <c r="E9" i="11"/>
  <c r="D9" i="11"/>
  <c r="F13" i="7"/>
  <c r="E13" i="7"/>
  <c r="F11" i="10"/>
  <c r="E11" i="10"/>
  <c r="C10" i="12" l="1"/>
  <c r="C10" i="18"/>
  <c r="C10" i="14"/>
  <c r="C11" i="13"/>
  <c r="C9" i="12"/>
  <c r="C10" i="17"/>
  <c r="C10" i="16"/>
  <c r="C11" i="14"/>
  <c r="C9" i="11"/>
  <c r="C9" i="17"/>
  <c r="C9" i="9"/>
  <c r="D11" i="10"/>
  <c r="D11" i="8"/>
  <c r="C9" i="16"/>
  <c r="D13" i="7"/>
  <c r="C9" i="6"/>
  <c r="C10" i="13"/>
  <c r="C9" i="18"/>
  <c r="J10" i="10"/>
  <c r="I10" i="10"/>
  <c r="H10" i="10"/>
  <c r="F10" i="10"/>
  <c r="E10" i="10"/>
  <c r="J10" i="8"/>
  <c r="I10" i="8"/>
  <c r="H10" i="8"/>
  <c r="F10" i="8"/>
  <c r="E10" i="8"/>
  <c r="J12" i="7"/>
  <c r="I12" i="7"/>
  <c r="H12" i="7"/>
  <c r="F12" i="7"/>
  <c r="E12" i="7"/>
  <c r="D12" i="7" l="1"/>
</calcChain>
</file>

<file path=xl/sharedStrings.xml><?xml version="1.0" encoding="utf-8"?>
<sst xmlns="http://schemas.openxmlformats.org/spreadsheetml/2006/main" count="679" uniqueCount="234">
  <si>
    <t>Total</t>
  </si>
  <si>
    <t>11a</t>
  </si>
  <si>
    <t>11b</t>
  </si>
  <si>
    <t>GL</t>
  </si>
  <si>
    <t>AR</t>
  </si>
  <si>
    <t>AI</t>
  </si>
  <si>
    <t>AG</t>
  </si>
  <si>
    <t>BE</t>
  </si>
  <si>
    <t>BL</t>
  </si>
  <si>
    <t>BS</t>
  </si>
  <si>
    <t>FR</t>
  </si>
  <si>
    <t>GE</t>
  </si>
  <si>
    <t>GR</t>
  </si>
  <si>
    <t>JU</t>
  </si>
  <si>
    <t>LU</t>
  </si>
  <si>
    <t>NE</t>
  </si>
  <si>
    <t>NW</t>
  </si>
  <si>
    <t>OW</t>
  </si>
  <si>
    <t>SG</t>
  </si>
  <si>
    <t>SH</t>
  </si>
  <si>
    <t>SO</t>
  </si>
  <si>
    <t>SZ</t>
  </si>
  <si>
    <t>TG</t>
  </si>
  <si>
    <t>TI</t>
  </si>
  <si>
    <t>UR</t>
  </si>
  <si>
    <t>VD</t>
  </si>
  <si>
    <t>VS</t>
  </si>
  <si>
    <t>ZG</t>
  </si>
  <si>
    <t>ZH</t>
  </si>
  <si>
    <t>Dropdownlisten</t>
  </si>
  <si>
    <t>Auswahl mit "keine Angabe"</t>
  </si>
  <si>
    <t>SH ja/nein</t>
  </si>
  <si>
    <t>…..</t>
  </si>
  <si>
    <t>_</t>
  </si>
  <si>
    <t>-</t>
  </si>
  <si>
    <t>CH</t>
  </si>
  <si>
    <t>Tel.</t>
  </si>
  <si>
    <t>Altfälle ja/nein</t>
  </si>
  <si>
    <t>Kontrolle</t>
  </si>
  <si>
    <t>Anzahl Personen</t>
  </si>
  <si>
    <t>Anzahl Fälle</t>
  </si>
  <si>
    <t>Eintritte oder Personen erfasst</t>
  </si>
  <si>
    <t>Cantone:</t>
  </si>
  <si>
    <t>Si prega di selezionare:</t>
  </si>
  <si>
    <t>Data dell'avvio</t>
  </si>
  <si>
    <t>Contatto:</t>
  </si>
  <si>
    <t xml:space="preserve">Nome: </t>
  </si>
  <si>
    <t>e-mail:</t>
  </si>
  <si>
    <t>N. della scheda</t>
  </si>
  <si>
    <t>Contenuto</t>
  </si>
  <si>
    <t>Indicatori PIC</t>
  </si>
  <si>
    <t>Data del rilevamento:</t>
  </si>
  <si>
    <t>N.</t>
  </si>
  <si>
    <t>Indicatori 
(Circolare PIC, cap. 7.1.2)</t>
  </si>
  <si>
    <t>Indicatori resi operativi</t>
  </si>
  <si>
    <t>Spiegazioni</t>
  </si>
  <si>
    <t>Totale</t>
  </si>
  <si>
    <t>Osservazioni del Cantone</t>
  </si>
  <si>
    <r>
      <t>Numero di persone raggiunte nell'ambito della</t>
    </r>
    <r>
      <rPr>
        <b/>
        <sz val="11"/>
        <rFont val="Arial"/>
        <family val="2"/>
      </rPr>
      <t xml:space="preserve"> prima informazione</t>
    </r>
  </si>
  <si>
    <t>Vanno considerati tutte le persone con cui sono stati effettuati colloqui di consulenza nell'ambito dei mezzi a disposizione nel settore di promozione consulenza nell'anno in rassegna.</t>
  </si>
  <si>
    <r>
      <t xml:space="preserve">Numero di consulenze nei settori di promozione </t>
    </r>
    <r>
      <rPr>
        <b/>
        <sz val="11"/>
        <rFont val="Arial"/>
        <family val="2"/>
      </rPr>
      <t>«Protezione contro la discriminazione»</t>
    </r>
    <r>
      <rPr>
        <sz val="11"/>
        <rFont val="Arial"/>
        <family val="2"/>
      </rPr>
      <t xml:space="preserve"> </t>
    </r>
  </si>
  <si>
    <t>Vanno considerati tutte le persone con cui sono stati effettuati colloqui di consulenza nell'ambito dei mezzi a disposizione nel settore di promozione «Protezione contro la discriminazione» nell'anno in rassegna.</t>
  </si>
  <si>
    <r>
      <t xml:space="preserve">Numero di partecipanti ai </t>
    </r>
    <r>
      <rPr>
        <b/>
        <sz val="11"/>
        <rFont val="Arial"/>
        <family val="2"/>
      </rPr>
      <t>corsi di lingua</t>
    </r>
    <r>
      <rPr>
        <sz val="11"/>
        <rFont val="Arial"/>
        <family val="2"/>
      </rPr>
      <t xml:space="preserve"> sovvenzionati</t>
    </r>
  </si>
  <si>
    <r>
      <t xml:space="preserve">Numero di persone che frequentano misure nel settore di </t>
    </r>
    <r>
      <rPr>
        <b/>
        <sz val="11"/>
        <rFont val="Arial"/>
        <family val="2"/>
      </rPr>
      <t>promozione occupazionale</t>
    </r>
    <r>
      <rPr>
        <sz val="11"/>
        <rFont val="Arial"/>
        <family val="2"/>
      </rPr>
      <t xml:space="preserve">. </t>
    </r>
  </si>
  <si>
    <t>Sintesi Indicatori AIS</t>
  </si>
  <si>
    <t>Tipo</t>
  </si>
  <si>
    <t>Indicatori
(Circolare AIS, cap. 7.2)</t>
  </si>
  <si>
    <t xml:space="preserve">Totale
</t>
  </si>
  <si>
    <t>Numero di R 
(incl. APR)</t>
  </si>
  <si>
    <t>Numero di AP</t>
  </si>
  <si>
    <t>Numero di N</t>
  </si>
  <si>
    <t>Numero delle donne</t>
  </si>
  <si>
    <t>Numero degli uomini</t>
  </si>
  <si>
    <t xml:space="preserve">Sono considerati:
</t>
  </si>
  <si>
    <t>Prima informazione e bisogno in termini d'integrazione</t>
  </si>
  <si>
    <t>P</t>
  </si>
  <si>
    <t>Prima informazione</t>
  </si>
  <si>
    <t>Numero di R/AP a partire dai 16 anni raggiunti nel quadro della prima informazione nell'anno in rassegna.</t>
  </si>
  <si>
    <t>C</t>
  </si>
  <si>
    <t>Esperienza lavorativa</t>
  </si>
  <si>
    <t>Numero di R/Ap a partire dai 16 anni con esperienza lavorativa complessiva
- ≤ 1 anno
- &gt; 1 ≤ 5 anni 
- &gt; 5 ≤10 anni 
- &gt; 10 anni</t>
  </si>
  <si>
    <t>≤ 1 anno di esperienza lavorativa complessiva</t>
  </si>
  <si>
    <t>&gt;1≤ 5 anni di esperienza lavorativa complessiva</t>
  </si>
  <si>
    <t xml:space="preserve"> &gt;5≤10 anni di esperienza lavorativa complessiva</t>
  </si>
  <si>
    <t>&gt;10 anni di esperienza lavorativa complessiva</t>
  </si>
  <si>
    <t>Formazione</t>
  </si>
  <si>
    <t xml:space="preserve">Numero di R/AP a partire dai 16 anni che hanno frequentato la scuola:
- fino a 6 anni (0-72 mesi)
- più di 6 anni (a partire dai 73 mesi)
</t>
  </si>
  <si>
    <t>≤6 anni</t>
  </si>
  <si>
    <t>&gt;6 anni</t>
  </si>
  <si>
    <t>Alfabetizzazione</t>
  </si>
  <si>
    <t xml:space="preserve">Numero di R/AP a partire dai 16 anni non alfabetizzati. </t>
  </si>
  <si>
    <t>Potenziale</t>
  </si>
  <si>
    <t>Numero di R/AP a partire dai 16 anni che, stando a una prima valutazione della persona che gestisce il caso, presentano o meno, nell'ottica della fase di prima integrazione, un potenziale occupazionale e/o formativo.</t>
  </si>
  <si>
    <t>piuttosto sì</t>
  </si>
  <si>
    <t>piuttosto no</t>
  </si>
  <si>
    <t>Consulenza</t>
  </si>
  <si>
    <t>Casi aperti</t>
  </si>
  <si>
    <t>Numero di nuovi casi aperti nell'anno in rassegna nel quadro della gestione corrente dei casi.</t>
  </si>
  <si>
    <t>Lingua e formazione</t>
  </si>
  <si>
    <t>Promozione linguistica adulti</t>
  </si>
  <si>
    <t xml:space="preserve">Numero di R/AP a partire dai 16 anni che hanno aderito a offerte di promozione linguistica nell'anno in rassegna. </t>
  </si>
  <si>
    <t>O</t>
  </si>
  <si>
    <t>Livello linguistico adulti</t>
  </si>
  <si>
    <t>Numero di R/AP a partire dai 19 anni che, tre anni dopo l'arrivo in Svizzera, dispongono di un livello linguistico orale e scritto nella lingua del luogo di domicilio pari almeno al livello A1 QCER.</t>
  </si>
  <si>
    <t>Prima infanzia</t>
  </si>
  <si>
    <t xml:space="preserve">Promozione linguistica minori in età prescolare </t>
  </si>
  <si>
    <t>Numero di R/AP in età prescolare che nell'anno in rassegna hanno partecipato a misure di promozione linguistica per la prima infanzia prima di iniziare la scuola dell'obbligo.</t>
  </si>
  <si>
    <t>Potenziale formativo e occupazionale</t>
  </si>
  <si>
    <t>Promozione potenziale in ambito formativo</t>
  </si>
  <si>
    <t xml:space="preserve">Numero di R/AP tra i 16 e i 25 anni che nell'anno in rassegna hanno frequentato un'offerta di promozione del potenziale formativo (e/o occupazionale). 
</t>
  </si>
  <si>
    <t>Promozione potenziale in ambito occupazionale</t>
  </si>
  <si>
    <t xml:space="preserve">Numero di R/AP tra i 26 e i 55 anni che nell'anno in rassegna hanno frequentato un'offerta di promozione del potenziale occupazionale (e/o formativo). </t>
  </si>
  <si>
    <t>Vivere assieme</t>
  </si>
  <si>
    <t xml:space="preserve">Numero di R/AP a partire dai 16 anni che nell'anno in rassegna hanno frequentato un'offerta/una misura destinata principalmente alla promozione dell'integrazione sociale. </t>
  </si>
  <si>
    <t>Casi secondo il diritto previgente
(prima del 1.5.19)</t>
  </si>
  <si>
    <t>solo persone dipendenti dall'aiuto sociale</t>
  </si>
  <si>
    <t>Indicatore AIS N. 1 : «Prima informazione» - Indicatore di prestazione</t>
  </si>
  <si>
    <t>Indicatore</t>
  </si>
  <si>
    <t>Numero d' AP</t>
  </si>
  <si>
    <t>Donne</t>
  </si>
  <si>
    <t>Uomini</t>
  </si>
  <si>
    <t>Precisazioni</t>
  </si>
  <si>
    <t>Indicatore resi operativi</t>
  </si>
  <si>
    <t>Popolazione statistica</t>
  </si>
  <si>
    <t xml:space="preserve">Vanno considerati tutti i R/AP che sono stati raggiunti nell’ambito della prima informazione nell’anno in rassegna, indipendentemente dal fatto che abbiano ricevuto una decisione in materia d’asilo con permesso di dimora nell’anno in rassegna o l’anno precedente. 
Fanno parte della prima informazione esclusivamente i (primi) colloqui bilaterali e le manifestazioni informative. 
Si presuppone che la prima informazione sia svolta un’unica volta entro pochi mesi dall’attribuzione. In determinati Cantoni la prima informazione avviene già durante la procedura d’asilo (ampliata) oppure soltanto dopo la decisione sull’asilo.
</t>
  </si>
  <si>
    <t>Indicatore AIS N. 2: «Esperienza lavorativa» - Indicatore contestuale</t>
  </si>
  <si>
    <t>Indicatore AIS N. 3: «Formazione» - Indicatore contestuale</t>
  </si>
  <si>
    <t>Numero di R/AP a partire dai 16 anni che hanno frequentato la scuola:
- fino a 6 anni (0-72 mesi)
- più di 6 anni (a partire dai 73 mesi)</t>
  </si>
  <si>
    <t>Indicatore AIS N. 4: «Alfabetizzazione» - Indicatore contestuale</t>
  </si>
  <si>
    <t>Vanno considerati tutti gli R/AP che non dispongono di conoscenze scritte della loro prima lingua.
Occorre considerare i R/AP nell’ambito della gestione dei casi con cui durante l’anno in rassegna è stata effettuata una prima valutazione individuale delle risorse, risp. è stato condotto un primo colloquio d’informazione
Le informazioni fornite per gli indicatori 2-5 sono si basano principalmente su una dichiarazione dell'AP/R e non possono/devono essere appurate in dettaglio dalla persona che gestisce il caso. Ai fini del rilevamento degli indicatori è sufficiente un unico rilevamento di questi dati.</t>
  </si>
  <si>
    <t>Indicatore AIS N. 5: «Potenziale» - Indicatore contestuale</t>
  </si>
  <si>
    <t>Occorre considerare i R/AP nell’ambito della gestione dei casi con cui durante l’anno in rassegna è stata effettuata una prima valutazione individuale delle risorse, risp. è stato svolto un primo colloquio d’informazione. 
In determinati Cantoni la prima valutazione individuale delle risorse, risp. il primo colloquio d’informazione avviene al momento dell’apertura del caso.
Le informazioni fornite per gli indicatori 2-5 sono si basano principalmente su una dichiarazione dell'AP/R e non possono/devono essere appurate in dettaglio dalla persona che gestisce il caso. Ai fini del rilevamento degli indicatori è sufficiente un unico rilevamento di questi dati.</t>
  </si>
  <si>
    <t>Indicatore AIS N. 6: «Casi aperti» - Indicatore di prestazione</t>
  </si>
  <si>
    <t>Numero di nuovi casi aperti nell'anno in rassegna nel quadro della gestione corrente dei casi</t>
  </si>
  <si>
    <t>Occorre considerare i R/AP per cui i servizi responsabili per i casi hanno aperto un nuovo fascicolo nell’anno in rassegna.</t>
  </si>
  <si>
    <t>Indicatore AIS N. 7: «Promozione linguistica adulti» - Indicatore di prestazione</t>
  </si>
  <si>
    <t>Sono considerati: 
(Si prega di selezionare)</t>
  </si>
  <si>
    <r>
      <t xml:space="preserve">Rilevamento
</t>
    </r>
    <r>
      <rPr>
        <sz val="11"/>
        <rFont val="Arial"/>
        <family val="2"/>
      </rPr>
      <t>(Si prega di selezionare)</t>
    </r>
  </si>
  <si>
    <t>numero delle offerte frequentate o il numero di persone che hanno aderito ad almeno un’offerta</t>
  </si>
  <si>
    <t xml:space="preserve">sì </t>
  </si>
  <si>
    <t>no</t>
  </si>
  <si>
    <t>numero di persone che hanno aderito ad almeno un’offerta</t>
  </si>
  <si>
    <t xml:space="preserve">numero delle offerte frequentate </t>
  </si>
  <si>
    <t>Indicatore AIS N. 8: «Livello linguistico adulti» - Indicatore d'obiettivo</t>
  </si>
  <si>
    <t>Modalità di rilevamento 
(Si prega di selezionare)</t>
  </si>
  <si>
    <t xml:space="preserve"> Certificato linguistico riconosciuto  </t>
  </si>
  <si>
    <t>Valutazione da parte di un insegnante di lingua</t>
  </si>
  <si>
    <t>Valutazione congiunta della persona che gestisce il caso e del R/AP</t>
  </si>
  <si>
    <t>Indicatore AIS N. 9: «Promozione linguistica minori in età prescolare» - Indicatore di prestazione</t>
  </si>
  <si>
    <t>Numero di R/AP in età prescolare nell’ambito della gestione dei casi nell’anno in rassegna
Vanno considerate le misure frequentate il cui scopo è la promozione linguistica dei bambini.</t>
  </si>
  <si>
    <t>Indicatore AIS N.11a:  «Promozione potenziale in ambito formativo» - Indicatore di prestazione</t>
  </si>
  <si>
    <t xml:space="preserve">Numero di R/AP tra i 16 e i 25 anni che nell'anno in rassegna hanno frequentato un'offerta di promozione del potenziale formativo (e/o occupazionale). </t>
  </si>
  <si>
    <t>Indicatore AIS N. 11b: «Promozione potenziale in ambito occupazionale» - Indicatore di prestazione</t>
  </si>
  <si>
    <t>Indicatore AIS 14 «Vivere assieme» - Indicatore di prestazione</t>
  </si>
  <si>
    <t xml:space="preserve">Nella colonna Osservazioni del Cantone, il Cantone indica quali tipi di offerta/misure prende in considerazione nel rilevare questo indicatore. Devono essere esclusivamente misure frequentate con l'obiettivo primario di promuovere l'integrazione sociale. </t>
  </si>
  <si>
    <t>Popolazione statistica AIS: R/AP con decisione a partire del 1 maggio 2019 (AIS entrata in vigore)</t>
  </si>
  <si>
    <t>Popolazione statistica Indicatori n. 1-6</t>
  </si>
  <si>
    <t>Popolazione statistica Indicatori n. 7</t>
  </si>
  <si>
    <t>Popolazione statistica Indicatori n. 8</t>
  </si>
  <si>
    <t>Popolazione statisticaIndicatori n. 9</t>
  </si>
  <si>
    <t>R (incl. APR)</t>
  </si>
  <si>
    <t>AP</t>
  </si>
  <si>
    <t>Cantone</t>
  </si>
  <si>
    <t>Éta del</t>
  </si>
  <si>
    <t>Popolazione statistica Indicatori n. 11a</t>
  </si>
  <si>
    <t>Popolazione statistica Indicatori n.11b</t>
  </si>
  <si>
    <t>Popolazione statistica Indicatori n.14</t>
  </si>
  <si>
    <t>Indice</t>
  </si>
  <si>
    <t>Indicatore AIS N. 1 : «Prima informazione»</t>
  </si>
  <si>
    <t>Indicatore AIS N. 2: «Esperienza lavorativa»</t>
  </si>
  <si>
    <t>Indicatore AIS N. 3: «Formazione»</t>
  </si>
  <si>
    <t>Indicatore AIS N. 4: «Alfabetizzazione»</t>
  </si>
  <si>
    <t>Indicatore AIS N. 5: «Potenziale»</t>
  </si>
  <si>
    <t>Indicatore AIS N. 6: «Casi aperti»</t>
  </si>
  <si>
    <t>Indicatore AIS N. 7: «Promozione linguistica adulti»</t>
  </si>
  <si>
    <t>Indicatore AIS N. 8: «Livello linguistico adulti»</t>
  </si>
  <si>
    <t>Indicatore AIS N. 9: «Promozione linguistica minori in età prescolare»</t>
  </si>
  <si>
    <t>Indicatore AIS N.11a:  «Promozione potenziale in ambito formativo»</t>
  </si>
  <si>
    <t xml:space="preserve">Indicatore AIS N. 11b: «Promozione potenziale in ambito occupazionale» </t>
  </si>
  <si>
    <t>Indicatore AIS 14 «Vivere assieme»</t>
  </si>
  <si>
    <t>Griglia Indicatori PIC / AIS - Berichtsjahr 2022</t>
  </si>
  <si>
    <t>Numero di S</t>
  </si>
  <si>
    <r>
      <t xml:space="preserve">Per l’anno di rapporto 2022: Numero di R/AP con </t>
    </r>
    <r>
      <rPr>
        <b/>
        <sz val="11"/>
        <rFont val="Arial"/>
        <family val="2"/>
      </rPr>
      <t>data di nascita 31.12.2006 o più anziani</t>
    </r>
    <r>
      <rPr>
        <sz val="11"/>
        <rFont val="Arial"/>
        <family val="2"/>
      </rPr>
      <t xml:space="preserve"> raggiunti nel quadro della prima informazione nell’anno in rassegna.</t>
    </r>
  </si>
  <si>
    <t xml:space="preserve">Popolazione statistica prevista ricavata da dati SIMIC per l’anno di rapporto 2022 al fine di verificare la plausibilità e di confrontare i dati fra i Cantoni (vale per tutti gli indicatori 1-6): numero di R/AP con data di nascita 31.12.2006 o più anziani che nell’anno in rassegna hanno ricevuto una decisione sull’asilo con permesso di soggiorno e al momento dell’entrata avevano almeno 16 anni.
</t>
  </si>
  <si>
    <r>
      <t xml:space="preserve">Per l’anno di rapporto 2022: Numero di R/AP con </t>
    </r>
    <r>
      <rPr>
        <b/>
        <sz val="11"/>
        <rFont val="Arial"/>
        <family val="2"/>
      </rPr>
      <t>data di nascita 31.12.2006 o più anziani</t>
    </r>
    <r>
      <rPr>
        <sz val="11"/>
        <rFont val="Arial"/>
        <family val="2"/>
      </rPr>
      <t>, con esperienza lavorativa complessiva:
- ≤ 1 anno
- &gt; 1 ≤  5 anni 
- &gt; 5 ≤1 0 anni 
- &gt; 10 anni</t>
    </r>
  </si>
  <si>
    <t>Popolazione statistica prevista ricavata da dati SIMIC per l’anno di rapporto 2022 al fine di verificare la plausibilità e di confrontare i dati fra i Cantoni (vale per tutti gli indicatori 1-6): numero di R/AP con data di nascita 31.12.2006 o più anziani che nell’anno in rassegna hanno ricevuto una decisione sull’asilo con permesso di soggiorno e al momento dell’entrata avevano almeno 16 anni.</t>
  </si>
  <si>
    <r>
      <t xml:space="preserve">Per l’anno di rapporto 2022: Numero di R/AP </t>
    </r>
    <r>
      <rPr>
        <b/>
        <sz val="11"/>
        <rFont val="Arial"/>
        <family val="2"/>
      </rPr>
      <t>con data di nascita 31.12.2006 o più anziani</t>
    </r>
    <r>
      <rPr>
        <sz val="11"/>
        <rFont val="Arial"/>
        <family val="2"/>
      </rPr>
      <t>, che hanno frequentato la scuola:
- fino a 6 anni (0-72 mesi)
- più di 6 anni (a partire dai 73 mesi)</t>
    </r>
  </si>
  <si>
    <r>
      <t>Per l’anno di rapporto 2022: Numero di R/AP</t>
    </r>
    <r>
      <rPr>
        <b/>
        <sz val="11"/>
        <rFont val="Arial"/>
        <family val="2"/>
      </rPr>
      <t xml:space="preserve"> con data di nascita 31.12.2006 o più anziani</t>
    </r>
    <r>
      <rPr>
        <sz val="11"/>
        <rFont val="Arial"/>
        <family val="2"/>
      </rPr>
      <t xml:space="preserve"> non alfabetizzati. </t>
    </r>
  </si>
  <si>
    <r>
      <t xml:space="preserve">Per l’anno di rapporto 2022: Numero di R/AP </t>
    </r>
    <r>
      <rPr>
        <b/>
        <sz val="11"/>
        <rFont val="Arial"/>
        <family val="2"/>
      </rPr>
      <t>con data di nascita 31.12.2006 o più anziani</t>
    </r>
    <r>
      <rPr>
        <sz val="11"/>
        <rFont val="Arial"/>
        <family val="2"/>
      </rPr>
      <t xml:space="preserve"> che stando a una prima valutazione della persona che gestisce il caso, presentano o meno, nell’ottica della fase di prima integrazione, un potenziale occupazionale e/o formativo.</t>
    </r>
  </si>
  <si>
    <t xml:space="preserve">Per l’anno di rapporto 2022: Numero di R/AP con data di nascita 31.12.2006 o più anziani, che hanno aderito a offerte di promozione linguistica nell'anno in rassegna. </t>
  </si>
  <si>
    <t>Popolazione statistica prevista ricavata da dati SIMIC per l’anno di rapporto 2022 al fine di verificare la plausibilità e di confrontare i dati fra i Cantoni: numero di R/AP con data di nascita 31.12.2006 o più anziani, entrati in Svizzera a partire dal 1.1.2016 e che al momento dell’entrata avevano almeno 16 anni.</t>
  </si>
  <si>
    <r>
      <t xml:space="preserve">Per l’anno di rapporto 2022: Numero di R/AP </t>
    </r>
    <r>
      <rPr>
        <b/>
        <sz val="11"/>
        <rFont val="Arial"/>
        <family val="2"/>
      </rPr>
      <t>con data di nascita 31.12.2002 o più anziani</t>
    </r>
    <r>
      <rPr>
        <sz val="11"/>
        <rFont val="Arial"/>
        <family val="2"/>
      </rPr>
      <t>, tre anni dopo l'arrivo in Svizzera (1.1.-31.12.2019), dispongono di un livello linguistico orale e scritto nella lingua del luogo di domicilio pari almeno al livello A1 QCER.</t>
    </r>
  </si>
  <si>
    <t>Popolazione statistica prevista ricavata da dati SIMIC per l’anno di rapporto 2022 al fine di verificare la plausibilità e di confrontare i dati fra i Cantoni: numero di R/AP con data di nascita 31.12.2002 o più anziani, entrati in Svizzera nel corso dell'anno 2019 (1.1.-31.12.2019).</t>
  </si>
  <si>
    <r>
      <t>Per l’anno di rapporto 2022: Numero di R/AP in età prescolare (</t>
    </r>
    <r>
      <rPr>
        <b/>
        <sz val="11"/>
        <rFont val="Arial"/>
        <family val="2"/>
      </rPr>
      <t>con data di nascita tra il 1.8.2018e il 31.12.2022</t>
    </r>
    <r>
      <rPr>
        <sz val="11"/>
        <rFont val="Arial"/>
        <family val="2"/>
      </rPr>
      <t>), che nell’anno in rassegna hanno partecipato a misure di promozione linguistica per la prima infanzia prima di iniziare la scuola dell’obbligo.</t>
    </r>
  </si>
  <si>
    <t>Popolazione statistica prevista ricavata da dati SIMIC per l’anno di rapporto 2022 al fine di verificare la plausibilità e di confrontare i dati fra i Cantoni: numero di R/AP con data di nascita tra il 01.08.2018 e il 31.12.2022.</t>
  </si>
  <si>
    <t>Popolazione statistica prevista ricavata da dati SIMIC per l’anno di rapporto 2022 al fine di verificare la plausibilità e di confrontare i dati fra i Cantoni: numero di R/AP con data di nascita tra l’1.1.1997 e il 31.12.2006, entrati a partire dal 1.1.2016, che all’entrata avevano almeno 16 anni.</t>
  </si>
  <si>
    <t>Popolazione statistica prevista ricavata da dati SIMIC per l’anno di rapporto 2022 al fine di verificare la plausibilità e di confrontare i dati fra i Cantoni: numero di R/AP con data di nascita tra l’1.1.1967 e il 31.12.1996, entrati a partire dal 1.1.2016.</t>
  </si>
  <si>
    <r>
      <t xml:space="preserve">Per l’anno di rapporto 2022: Numero di R/AP con </t>
    </r>
    <r>
      <rPr>
        <b/>
        <sz val="11"/>
        <rFont val="Arial"/>
        <family val="2"/>
      </rPr>
      <t>data di nascita 31.12.2006</t>
    </r>
    <r>
      <rPr>
        <sz val="11"/>
        <rFont val="Arial"/>
        <family val="2"/>
      </rPr>
      <t xml:space="preserve"> o più anziani che nell’anno in rassegna hanno frequentato un’offerta/una misura destinata principalmente alla promozione dell’integrazione sociale.</t>
    </r>
  </si>
  <si>
    <t>Popolazione statistica prevista ricavata da dati SIMIC per l’anno di rapporto 2022 al fine di verificare la plausibilità e di confrontare i dati fra i Cantoni: numero di R/AP con data di nascita 31.12.2006 o più anziani, entrati in Svizzera a partire dal 1.1.2016.</t>
  </si>
  <si>
    <t>Fonte: SEM/SYMIC, giorno di riferimento:  31.12.2022</t>
  </si>
  <si>
    <t>Numero di R/AP con data di nascita 31.12.2006 o più anziani che nell’anno in rassegna hanno ricevuto una decisione sull’asilo con permesso di soggiorno e al momento dell’entrata avevano almeno 16 anni.</t>
  </si>
  <si>
    <t>Numero di R/AP con data di nascita 31.12.2006 o più anziani, entrati in Svizzera a partire dal 1.1.2016 e che al momento dell’entrata avevano almeno 16 anni.</t>
  </si>
  <si>
    <t>Numero di R/AP con data di nascita 31.12.2002 o più anziani, entrati in Svizzera nel corso dell'anno 2019 (1.1.-31.12.2019).</t>
  </si>
  <si>
    <t>Numero di R/AP con data di nascita tra il 01.08.2018 e il 31.12.2022.</t>
  </si>
  <si>
    <t>Numero di R/AP con data di nascita tra l’1.1.1997 e il 31.12.2006, entrati a partire dal 1.1.2016, che all’entrata avevano almeno 16 anni.</t>
  </si>
  <si>
    <t>Numero di R/AP con data di nascita tra l’1.1.1967 e il 31.12.1996, entrati a partire dal 1.1.2016.</t>
  </si>
  <si>
    <t>Numero di R/AP con data di nascita 31.12.2006 o più anziani, entrati in Svizzera a partire dal 1.1.2016.</t>
  </si>
  <si>
    <t>S</t>
  </si>
  <si>
    <t xml:space="preserve">Fonte: SEM/SYMIC, giorno di riferimento:  31.12.2022 </t>
  </si>
  <si>
    <t>Popolazione statistica AIS: effettivo dei R/AP</t>
  </si>
  <si>
    <t>nessuna indicazione</t>
  </si>
  <si>
    <t>FL/VA sono inclusi</t>
  </si>
  <si>
    <t>Numero di stranieri con permesso B, C (fuori del settore dell’asilo) e L con cui è stato condotto un primo colloquio bilaterale o che hanno partecipato a una sessione informativa durante l'anno in rassegna.</t>
  </si>
  <si>
    <t>Devono essere conteggiate tutte le persone che hanno ricevuto la prima informazione durante l'anno in rassegna. La prima informazione include solo i (primi) colloqui bilaterali e le sessioni informative. 
Nella colonna Osservazioni del Cantone, il Cantone indica la composizione delle cifre indicate, ossia quali forme di prima informazione prende in considerazione.</t>
  </si>
  <si>
    <r>
      <t xml:space="preserve">Numero di persone che hanno ricevuto consulenza  nel settore della promozione </t>
    </r>
    <r>
      <rPr>
        <b/>
        <sz val="11"/>
        <rFont val="Arial"/>
        <family val="2"/>
      </rPr>
      <t>«Consulenza»</t>
    </r>
    <r>
      <rPr>
        <sz val="11"/>
        <rFont val="Arial"/>
        <family val="2"/>
      </rPr>
      <t xml:space="preserve">. </t>
    </r>
  </si>
  <si>
    <t>Vanno contate tutte le persone che hanno partecipato a un programma di promozione dell'occupabilità durante l'anno in esame. Ogni persona viene contata una sola volta, anche se ha partecipato a più offerte diverse. Se la partecipazione all'offerta viene interrotta o cancellata, l'iscrizione viene comunque conteggiata.  Di norma si tratta di offerte di qualificazione nel mercato del lavoro primario o secondario. 
Nella colonna Osservazioni del Cantone, il Cantone indica quali tipi di offerte prende in considerazione nel rilevare questo indicatore. Non vanno considerati gli AP/R che partecipano a offerte finalizzate in primo luogo alla promozione linguistica.</t>
  </si>
  <si>
    <t xml:space="preserve">Occorre prendere in considerazione i R/AP con cui, nell'ambito della gestione corrente dei casi, è stata effettuata una prima valutazione individuale delle risorse risp. è stato condotto un primo colloquio d’informazione nell’anno in rassegna. In determinati Cantoni la prima valutazione individuale delle risorse, risp. il primo colloquio d’informazione avviene al momento dell’apertura del caso.
Occorre prendere in considerazione qualsiasi esperienza lavorativa retribuita svolta all'estero, nello Stato d'origine, durante la fuga o in Svizzera. Vanno considerate anche le esperienze lavorative maturate nell'ambito di una formazione. 
Al più tardi a partire dal PIC 3 (a partire dall'anno di riferimento 2024), i Cantoni dovranno inserire il numero di anni di esperienza professionale come valore numerico e indicarlo nella griglia degli indicatori.
Le informazioni fornite per gli indicatori 2-5 sono si basano principalmente su una dichiarazione dell'AP/R e non possono/devono essere appurate in dettaglio dalla persona che gestisce il caso. Ai fini del rilevamento degli indicatori è sufficiente un unico rilevamento di questi dati.
</t>
  </si>
  <si>
    <t>Occorre considerare i R/AP nell’ambito della gestione dei casi con cui nell’anno in rassegna è stata effettuata una prima valutazione individuale delle risorse, risp. è stato condotto un primo colloquio d’informazione.
Il luogo in cui è stata frequentata la scuola è irrilevante (Stato d’origine, luoghi attraversati durante la fuga o altrove fuori della Svizzera).
Al più tardi a partire dall'PIC 3 (dall'anno di riferimento 2024), i Cantoni dovranno inserire il numero di anni di scolarizzazione completati come valore numerico e indicarlo nella griglia dell'indicatore.
Le informazioni fornite per gli indicatori 2-5 sono si basano principalmente su una dichiarazione dell'AP/R e non possono/devono essere appurate in dettaglio dalla persona che gestisce il caso. Ai fini del rilevamento degli indicatori è sufficiente un unico rilevamento di questi dati.</t>
  </si>
  <si>
    <t xml:space="preserve">Devono essere conteggiate tutti i R/AP che, durante l'anno in esame, hanno partecipato a un'offerta di promozione linguistica dopo esservi stati assegnati dal servizio di gestione dei casi. Ogni persona viene contata una sola volta, anche se ha partecipato a più offerte diverse. Se la partecipazione all'offerta viene interrotta o annullata, l'iscrizione viene comunque conteggiata. 
A partire dall'PIC 3 (dall'anno di riferimento 2024 in poi), i Cantoni dovranno differenziare il numero di R/AP per anno di ingresso e indicarlo nella griglia degli indicatori. Il primo numero di iscrizioni da indicare è quello dell'anno 2018 (2024: 7 anni in Svizzera).
</t>
  </si>
  <si>
    <t xml:space="preserve">Numero di R/AP a partire dai 19 anni nell’ambito della gestione dei casi nell’anno in rassegna, giunti in Svizzera tre anni prima dell’anno in rassegna (coorte d’entrata), 
Se possibile il Cantone indica in che modo è valutato il livello linguistico (possibilità di scelta multipla):
•  Certificato linguistico riconosciuto 
•  Valutazione da parte di un insegnante di lingua
•  Valutazione congiunta della persona che gestisce il caso e del R/AP
A partire dall'PIC 3 (dall'anno di riferimento 2024), si raccomanda ai Cantoni di registrare il livello linguistico dei R/AP. L'indicazione nella griglia degli indicatori (numero di R/AP con livello linguistico A1/A2, numero di R/AP con livello linguistico B1/B2, numero di R/AP con livello linguistico C1/C2) rimane tuttavia facoltativa.
</t>
  </si>
  <si>
    <t xml:space="preserve">Per il rapporto 2022: Numero di R/AP di età compresa tra 16 e 25 anni (nati tra l'1.1.1997 e il 31.12.2006) che hanno partecipato a un'offerta per la promozione del potenziale in ambito formativo (e/o occupazionale) durante l'anno in esame. </t>
  </si>
  <si>
    <t xml:space="preserve">Per il rapporto 2022: Numero di R/AP tra i 26 e i 55 anni (nati tra l'1.1.1967 e il 31.12.1996) che hanno partecipato durante l'anno in rassegna a un'offerta per la promozione del potenziale in ambito occupazionale (e/o formativo). </t>
  </si>
  <si>
    <t>Popolazione statistica AIS: R/AP con decisione d'asilo nell'anno in rassegna (scheda 16)*</t>
  </si>
  <si>
    <t>*Gli universi statistici "Totale", "Donne" e "Uomini" includono tutti gli R e gli AP. Le persone con statuto di protezione S non sono incluse.</t>
  </si>
  <si>
    <t xml:space="preserve">Devono essere conteggiati, tutti i R/AP che hanno partecipato a un'offerta per la promozione del potenziale in ambito formativo (e/o occupazionale) durante l'anno in esame. Ogni persona viene contata una sola volta, anche se ha partecipato a più offerte diverse. Se la partecipazione all'offerta viene interrotta o annullata, l'iscrizione viene comunque conteggiata. 
Di regola, nella pratica non è possibile distinguere nettamente tra offerte di promozione del potenziale formativo e offerte di promozione del potenziale occupazionale. In ultima analisi è il servizio che gestisce il caso a decidere (sulla base del piano d'integrazione individuale del R/AP) se l'offerta X viene frequentata con l'obiettivo di promuovere il potenziale formativo o di promuovere il potenziale occupazionale. Essenzialmente, in base all'AIS, per gli R/AP tra i 16 e i 25 anni prevale la promozione del potenziale formativo, mentre per gli R/AP tra i 26 e i 55 anni prevale la promozione del potenziale occupazionale. Pertanto l'indicatore 11 distingue tra questi due gruppi d'età. 
Nella colonna Osservazioni il Cantone indica la composizione della cifra indicata, vale a dire quali tipi di offerta prende in considerazione nel rilevare questo indicatore. Non vanno considerati gli R/AP che partecipano a offerte finalizzate in primo luogo alla promozione linguistica. 
</t>
  </si>
  <si>
    <t xml:space="preserve">Devono essere conteggiati, tutti i R/AP che hanno partecipato a un'offerta per la promozione del potenziale in ambito formativo (e/o occupazionale) durante l'anno in esame. Ogni persona viene contata una sola volta, anche se ha partecipato a più offerte diverse. Se la partecipazione all'offerta viene interrotta o annullata, l'iscrizione viene comunque conteggiata.  
Di norma, si tratta di offerte di qualificazione nel mercato del lavoro primario e secondario. 
Di regola, nella pratica non è possibile distinguere nettamente tra offerte di promozione del potenziale formativo e offerte di promozione del potenziale occupazionale. In ultima analisi è il servizio che gestisce il caso a decidere (sulla base del piano d'integrazione individuale del R/AP) se l'offerta X viene frequentata con l'obiettivo di promuovere il potenziale formativo o di promuovere il potenziale occupazionale. Essenzialmente, in base all'AIS, per gli R/AP tra i 16 e i 25 anni prevale la promozione del potenziale formativo, mentre per gli R/AP tra i 26 e i 55 anni prevale la promozione del potenziale occupazionale. Pertanto l'indicatore 11 distingue tra questi due gruppi d'età. 
Nella colonna Osservazioni il Cantone indica la composizione della cifra indicata, vale a dire quali tipi di offerta prende in considerazione nel rilevare questo indicatore. Non vanno considerati gli R/AP che partecipano a offerte finalizzate in primo luogo alla promozione linguistica. </t>
  </si>
  <si>
    <t>Vanno contate tutte le persone che hanno partecipato a un corso di formazione linguistica durante l'anno in esame. Ogni persona viene contata una sola volta, anche se ha frequentato più corsi diversi. Se la partecipazione all'offerta viene interrotta o annullata, l'iscrizione viene comunque conteggiata. 
Nella colonna Osservazioni del Cantone, il Cantone indica quali offerte di promozione linguistica prende in considerazione nel rilevare questo indicatore.</t>
  </si>
  <si>
    <t>Numero di stranieri con permesso B, C (fuori del settore dell’asilo) e L che hanno partecipato a un programma di formazione linguistica durante l'anno in rassegna.</t>
  </si>
  <si>
    <t xml:space="preserve">Numero di stranieri con permesso B, C (fuori del settore dell’asilo)  e L che hanno ricevuto consulenza nell'anno in rassegna nell'ambito del settore di promozione «Consulenza». </t>
  </si>
  <si>
    <t xml:space="preserve">Numero di stranieri con permesso B, C (fuori del settore dell’asilo)  e L che hanno frequentato un'offerta di promozione del potenziale occupazionale nell'anno in rassegna. </t>
  </si>
  <si>
    <t xml:space="preserve">Numero di stranieri con permesso B, C (al di fuori dell'ambito dell'asilo e dei rifugiati) e L con cui è stata effettuata una consulenza finanziata dall'area di promozione "Protezione dalla discriminazione" nell'anno in rassegna. </t>
  </si>
  <si>
    <t>Popolazione statistica AIS: R/AP entrata in Svizzera a partire dal 1.1.2016 (scheda 17)*</t>
  </si>
  <si>
    <t>Popolazione statistica AIS: R/AP con decisione a partire dal 1.5.2019 (scheda 16)*</t>
  </si>
  <si>
    <t>Popolazione statistica AIS: R/AP entrata in Svizzera nel corso dell'anno 2019 (scheda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</si>
</sst>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Arial"/>
      <family val="2"/>
    </font>
    <font>
      <b/>
      <sz val="11"/>
      <color theme="1"/>
      <name val="Arial"/>
      <family val="2"/>
    </font>
    <font>
      <sz val="10"/>
      <name val="Arial"/>
      <family val="2"/>
    </font>
    <font>
      <sz val="11"/>
      <name val="Arial"/>
      <family val="2"/>
    </font>
    <font>
      <b/>
      <sz val="11"/>
      <name val="Arial"/>
      <family val="2"/>
    </font>
    <font>
      <b/>
      <i/>
      <sz val="11"/>
      <name val="Arial"/>
      <family val="2"/>
    </font>
    <font>
      <b/>
      <sz val="14"/>
      <name val="Arial"/>
      <family val="2"/>
    </font>
    <font>
      <b/>
      <sz val="20"/>
      <name val="Arial"/>
      <family val="2"/>
    </font>
    <font>
      <b/>
      <sz val="22"/>
      <name val="Arial"/>
      <family val="2"/>
    </font>
    <font>
      <sz val="18"/>
      <color theme="1"/>
      <name val="Arial"/>
      <family val="2"/>
    </font>
    <font>
      <sz val="20"/>
      <color theme="1"/>
      <name val="Arial"/>
      <family val="2"/>
    </font>
    <font>
      <sz val="22"/>
      <color theme="1"/>
      <name val="Arial"/>
      <family val="2"/>
    </font>
    <font>
      <b/>
      <sz val="22"/>
      <color theme="1"/>
      <name val="Arial"/>
      <family val="2"/>
    </font>
    <font>
      <b/>
      <sz val="16"/>
      <color theme="1"/>
      <name val="Arial"/>
      <family val="2"/>
    </font>
    <font>
      <b/>
      <sz val="24"/>
      <color theme="0"/>
      <name val="Arial"/>
      <family val="2"/>
    </font>
    <font>
      <b/>
      <sz val="22"/>
      <color theme="0"/>
      <name val="Arial"/>
      <family val="2"/>
    </font>
    <font>
      <sz val="20"/>
      <name val="Arial"/>
      <family val="2"/>
    </font>
    <font>
      <b/>
      <sz val="11"/>
      <color theme="7" tint="-0.499984740745262"/>
      <name val="Arial"/>
      <family val="2"/>
    </font>
    <font>
      <b/>
      <sz val="11"/>
      <color theme="5" tint="-0.499984740745262"/>
      <name val="Arial"/>
      <family val="2"/>
    </font>
    <font>
      <b/>
      <sz val="10"/>
      <color theme="1"/>
      <name val="Arial"/>
      <family val="2"/>
    </font>
    <font>
      <b/>
      <sz val="11"/>
      <color rgb="FFFF0000"/>
      <name val="Arial"/>
      <family val="2"/>
    </font>
    <font>
      <b/>
      <sz val="10"/>
      <name val="Arial"/>
      <family val="2"/>
    </font>
    <font>
      <u/>
      <sz val="11"/>
      <color theme="10"/>
      <name val="Arial"/>
      <family val="2"/>
    </font>
    <font>
      <b/>
      <sz val="11"/>
      <color rgb="FF5F2C09"/>
      <name val="Arial"/>
      <family val="2"/>
    </font>
    <font>
      <b/>
      <sz val="12"/>
      <color theme="1"/>
      <name val="Arial"/>
      <family val="2"/>
    </font>
    <font>
      <sz val="11"/>
      <color theme="0"/>
      <name val="Arial"/>
      <family val="2"/>
    </font>
    <font>
      <b/>
      <u/>
      <sz val="14"/>
      <color rgb="FF305496"/>
      <name val="Arial"/>
      <family val="2"/>
    </font>
    <font>
      <b/>
      <sz val="14"/>
      <color rgb="FF305496"/>
      <name val="Arial"/>
      <family val="2"/>
    </font>
    <font>
      <b/>
      <sz val="14"/>
      <color theme="1"/>
      <name val="Arial"/>
      <family val="2"/>
    </font>
    <font>
      <b/>
      <sz val="16"/>
      <name val="Arial"/>
      <family val="2"/>
    </font>
    <font>
      <b/>
      <sz val="20"/>
      <color theme="0"/>
      <name val="Arial"/>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bgColor indexed="64"/>
      </patternFill>
    </fill>
    <fill>
      <patternFill patternType="solid">
        <fgColor theme="7"/>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diagonal/>
    </border>
    <border>
      <left/>
      <right/>
      <top style="medium">
        <color indexed="64"/>
      </top>
      <bottom/>
      <diagonal/>
    </border>
    <border>
      <left/>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ck">
        <color indexed="64"/>
      </bottom>
      <diagonal/>
    </border>
    <border>
      <left style="medium">
        <color indexed="64"/>
      </left>
      <right/>
      <top style="thin">
        <color indexed="64"/>
      </top>
      <bottom/>
      <diagonal/>
    </border>
  </borders>
  <cellStyleXfs count="3">
    <xf numFmtId="0" fontId="0" fillId="0" borderId="0"/>
    <xf numFmtId="0" fontId="2" fillId="0" borderId="0"/>
    <xf numFmtId="0" fontId="22" fillId="0" borderId="0" applyNumberFormat="0" applyFill="0" applyBorder="0" applyAlignment="0" applyProtection="0"/>
  </cellStyleXfs>
  <cellXfs count="557">
    <xf numFmtId="0" fontId="0" fillId="0" borderId="0" xfId="0"/>
    <xf numFmtId="0" fontId="3" fillId="0" borderId="0" xfId="0" applyFont="1"/>
    <xf numFmtId="0" fontId="4" fillId="0" borderId="0" xfId="0" applyFont="1" applyAlignment="1">
      <alignment wrapText="1"/>
    </xf>
    <xf numFmtId="0" fontId="3" fillId="0" borderId="0" xfId="0" applyFont="1" applyAlignment="1">
      <alignment wrapText="1"/>
    </xf>
    <xf numFmtId="0" fontId="3" fillId="0" borderId="0" xfId="0" applyFont="1" applyFill="1" applyAlignment="1">
      <alignment wrapText="1"/>
    </xf>
    <xf numFmtId="0" fontId="4" fillId="0" borderId="0" xfId="0" applyFont="1" applyFill="1" applyAlignment="1">
      <alignment wrapText="1"/>
    </xf>
    <xf numFmtId="0" fontId="3" fillId="0" borderId="0" xfId="0" applyFont="1" applyAlignment="1">
      <alignment horizontal="left" vertical="top" wrapText="1"/>
    </xf>
    <xf numFmtId="0" fontId="6" fillId="0" borderId="0" xfId="0" applyFont="1" applyAlignment="1">
      <alignment vertical="top"/>
    </xf>
    <xf numFmtId="0" fontId="4" fillId="0" borderId="30" xfId="0" applyFont="1" applyBorder="1" applyAlignment="1">
      <alignment horizontal="left" vertical="top" textRotation="90" wrapText="1"/>
    </xf>
    <xf numFmtId="0" fontId="4" fillId="0" borderId="33" xfId="0" applyFont="1" applyBorder="1" applyAlignment="1">
      <alignment horizontal="left" vertical="top" wrapText="1"/>
    </xf>
    <xf numFmtId="0" fontId="3" fillId="0" borderId="21" xfId="0" applyNumberFormat="1" applyFont="1" applyBorder="1" applyAlignment="1">
      <alignment horizontal="left" vertical="top" wrapText="1"/>
    </xf>
    <xf numFmtId="0" fontId="3" fillId="0" borderId="0" xfId="0" applyFont="1" applyBorder="1" applyAlignment="1">
      <alignment horizontal="left" vertical="top"/>
    </xf>
    <xf numFmtId="0" fontId="3" fillId="3" borderId="0" xfId="0" applyFont="1" applyFill="1" applyBorder="1" applyAlignment="1">
      <alignment horizontal="left" vertical="top" wrapText="1"/>
    </xf>
    <xf numFmtId="0" fontId="3" fillId="3" borderId="0" xfId="0" applyFont="1" applyFill="1"/>
    <xf numFmtId="0" fontId="3" fillId="3" borderId="0" xfId="0" applyFont="1" applyFill="1" applyBorder="1"/>
    <xf numFmtId="0" fontId="6" fillId="3" borderId="0" xfId="0" applyFont="1" applyFill="1" applyAlignment="1">
      <alignment horizontal="left" vertical="top"/>
    </xf>
    <xf numFmtId="0" fontId="3" fillId="3" borderId="0" xfId="0" applyFont="1" applyFill="1" applyAlignment="1">
      <alignment horizontal="left" vertical="top" wrapText="1"/>
    </xf>
    <xf numFmtId="0" fontId="3" fillId="3" borderId="0" xfId="0" applyFont="1" applyFill="1" applyAlignment="1">
      <alignment horizontal="left"/>
    </xf>
    <xf numFmtId="0" fontId="4" fillId="4" borderId="45" xfId="0" applyFont="1" applyFill="1" applyBorder="1" applyAlignment="1">
      <alignment horizontal="left" vertical="top"/>
    </xf>
    <xf numFmtId="0" fontId="4" fillId="4" borderId="12" xfId="0" applyFont="1" applyFill="1" applyBorder="1" applyAlignment="1">
      <alignment horizontal="left" vertical="top"/>
    </xf>
    <xf numFmtId="0" fontId="4" fillId="4" borderId="51" xfId="0" applyFont="1" applyFill="1" applyBorder="1" applyAlignment="1">
      <alignment horizontal="left" vertical="top"/>
    </xf>
    <xf numFmtId="0" fontId="3" fillId="3" borderId="11" xfId="0" applyFont="1" applyFill="1" applyBorder="1" applyAlignment="1">
      <alignment vertical="top" wrapText="1"/>
    </xf>
    <xf numFmtId="0" fontId="3" fillId="3" borderId="17" xfId="0" applyFont="1" applyFill="1" applyBorder="1" applyAlignment="1">
      <alignment horizontal="left" vertical="top" wrapText="1"/>
    </xf>
    <xf numFmtId="0" fontId="3" fillId="3" borderId="47" xfId="0" applyFont="1" applyFill="1" applyBorder="1" applyAlignment="1">
      <alignment horizontal="left" vertical="top" wrapText="1"/>
    </xf>
    <xf numFmtId="0" fontId="3" fillId="0" borderId="5" xfId="0" applyNumberFormat="1" applyFont="1" applyBorder="1" applyAlignment="1">
      <alignment horizontal="left" vertical="top" wrapText="1"/>
    </xf>
    <xf numFmtId="0" fontId="4" fillId="2" borderId="30" xfId="0" applyFont="1" applyFill="1" applyBorder="1" applyAlignment="1">
      <alignment horizontal="left" vertical="top" wrapText="1"/>
    </xf>
    <xf numFmtId="3" fontId="3" fillId="0" borderId="7" xfId="0" applyNumberFormat="1" applyFont="1" applyBorder="1" applyAlignment="1" applyProtection="1">
      <alignment horizontal="center" vertical="center" wrapText="1"/>
    </xf>
    <xf numFmtId="3" fontId="3" fillId="0" borderId="9" xfId="0" applyNumberFormat="1" applyFont="1" applyBorder="1" applyAlignment="1" applyProtection="1">
      <alignment horizontal="center" vertical="center" wrapText="1"/>
    </xf>
    <xf numFmtId="3" fontId="3" fillId="0" borderId="1" xfId="0" applyNumberFormat="1" applyFont="1" applyBorder="1" applyAlignment="1" applyProtection="1">
      <alignment horizontal="center" vertical="center" wrapText="1"/>
    </xf>
    <xf numFmtId="3" fontId="3" fillId="0" borderId="37" xfId="0" applyNumberFormat="1" applyFont="1" applyBorder="1" applyAlignment="1" applyProtection="1">
      <alignment horizontal="center" vertical="center" wrapText="1"/>
    </xf>
    <xf numFmtId="3" fontId="3" fillId="0" borderId="20" xfId="0" applyNumberFormat="1" applyFont="1" applyBorder="1" applyAlignment="1" applyProtection="1">
      <alignment horizontal="center" vertical="center" wrapText="1"/>
    </xf>
    <xf numFmtId="3" fontId="3" fillId="0" borderId="21" xfId="0" applyNumberFormat="1" applyFont="1" applyBorder="1" applyAlignment="1" applyProtection="1">
      <alignment horizontal="center" vertical="center" wrapText="1"/>
    </xf>
    <xf numFmtId="0" fontId="3" fillId="0" borderId="30" xfId="0" applyFont="1" applyFill="1" applyBorder="1" applyAlignment="1">
      <alignment horizontal="left" vertical="top" wrapText="1"/>
    </xf>
    <xf numFmtId="0" fontId="3" fillId="0" borderId="27" xfId="0" applyFont="1" applyBorder="1" applyAlignment="1">
      <alignment horizontal="left" vertical="top" wrapText="1"/>
    </xf>
    <xf numFmtId="0" fontId="3" fillId="0" borderId="30" xfId="0" applyNumberFormat="1" applyFont="1" applyBorder="1" applyAlignment="1">
      <alignment horizontal="left" vertical="top" wrapText="1"/>
    </xf>
    <xf numFmtId="0" fontId="3" fillId="0" borderId="29" xfId="0" applyNumberFormat="1" applyFont="1" applyBorder="1" applyAlignment="1">
      <alignment horizontal="left" vertical="top" wrapText="1"/>
    </xf>
    <xf numFmtId="3" fontId="3" fillId="0" borderId="32" xfId="0" applyNumberFormat="1" applyFont="1" applyBorder="1" applyAlignment="1" applyProtection="1">
      <alignment horizontal="center" vertical="center" wrapText="1"/>
    </xf>
    <xf numFmtId="3" fontId="3" fillId="0" borderId="39" xfId="0" applyNumberFormat="1" applyFont="1" applyBorder="1" applyAlignment="1" applyProtection="1">
      <alignment horizontal="center" vertical="center" wrapText="1"/>
    </xf>
    <xf numFmtId="0" fontId="3" fillId="0" borderId="24" xfId="0" applyNumberFormat="1" applyFont="1" applyBorder="1" applyAlignment="1">
      <alignment horizontal="left" vertical="top" wrapText="1"/>
    </xf>
    <xf numFmtId="3" fontId="3" fillId="0" borderId="31" xfId="0" applyNumberFormat="1" applyFont="1" applyBorder="1" applyAlignment="1" applyProtection="1">
      <alignment horizontal="center" vertical="center" wrapText="1"/>
    </xf>
    <xf numFmtId="3" fontId="3" fillId="0" borderId="22" xfId="0" applyNumberFormat="1" applyFont="1" applyBorder="1" applyAlignment="1" applyProtection="1">
      <alignment horizontal="center" vertical="center" wrapText="1"/>
    </xf>
    <xf numFmtId="3" fontId="3" fillId="0" borderId="24" xfId="0" applyNumberFormat="1" applyFont="1" applyBorder="1" applyAlignment="1" applyProtection="1">
      <alignment horizontal="center" vertical="center" wrapText="1"/>
    </xf>
    <xf numFmtId="0" fontId="3" fillId="0" borderId="26" xfId="0" applyFont="1" applyBorder="1" applyAlignment="1">
      <alignment horizontal="left" vertical="top" wrapText="1"/>
    </xf>
    <xf numFmtId="3" fontId="3" fillId="0" borderId="29" xfId="0" applyNumberFormat="1" applyFont="1" applyBorder="1" applyAlignment="1" applyProtection="1">
      <alignment horizontal="center" vertical="center" wrapText="1"/>
    </xf>
    <xf numFmtId="0" fontId="3" fillId="0" borderId="57" xfId="0" applyNumberFormat="1" applyFont="1" applyBorder="1" applyAlignment="1">
      <alignment horizontal="left" vertical="top" wrapText="1"/>
    </xf>
    <xf numFmtId="3" fontId="3" fillId="0" borderId="28" xfId="0" applyNumberFormat="1" applyFont="1" applyBorder="1" applyAlignment="1" applyProtection="1">
      <alignment horizontal="center" vertical="center" wrapText="1"/>
    </xf>
    <xf numFmtId="3" fontId="3" fillId="0" borderId="57" xfId="0" applyNumberFormat="1" applyFont="1" applyBorder="1" applyAlignment="1" applyProtection="1">
      <alignment horizontal="center" vertical="center" wrapText="1"/>
    </xf>
    <xf numFmtId="3" fontId="3" fillId="0" borderId="26" xfId="0" applyNumberFormat="1" applyFont="1" applyBorder="1" applyAlignment="1" applyProtection="1">
      <alignment horizontal="center" vertical="center" wrapText="1"/>
    </xf>
    <xf numFmtId="3" fontId="3" fillId="0" borderId="55" xfId="0" applyNumberFormat="1" applyFont="1" applyBorder="1" applyAlignment="1" applyProtection="1">
      <alignment horizontal="center" vertical="center" wrapText="1"/>
    </xf>
    <xf numFmtId="0" fontId="3" fillId="0" borderId="30" xfId="0" applyNumberFormat="1" applyFont="1" applyFill="1" applyBorder="1" applyAlignment="1">
      <alignment horizontal="left" vertical="top" wrapText="1"/>
    </xf>
    <xf numFmtId="0" fontId="3" fillId="0" borderId="29" xfId="0" applyNumberFormat="1" applyFont="1" applyFill="1" applyBorder="1" applyAlignment="1">
      <alignment horizontal="left" vertical="top" wrapText="1"/>
    </xf>
    <xf numFmtId="0" fontId="3" fillId="0" borderId="30" xfId="0" applyFont="1" applyBorder="1"/>
    <xf numFmtId="0" fontId="5" fillId="2" borderId="30" xfId="0" applyNumberFormat="1" applyFont="1" applyFill="1" applyBorder="1" applyAlignment="1">
      <alignment wrapText="1"/>
    </xf>
    <xf numFmtId="0" fontId="3" fillId="2" borderId="29" xfId="0" applyNumberFormat="1" applyFont="1" applyFill="1" applyBorder="1" applyAlignment="1">
      <alignment wrapText="1"/>
    </xf>
    <xf numFmtId="0" fontId="3" fillId="2" borderId="39" xfId="0" applyNumberFormat="1" applyFont="1" applyFill="1" applyBorder="1" applyAlignment="1">
      <alignment wrapText="1"/>
    </xf>
    <xf numFmtId="0" fontId="3" fillId="2" borderId="29" xfId="0" applyNumberFormat="1" applyFont="1" applyFill="1" applyBorder="1"/>
    <xf numFmtId="0" fontId="3" fillId="2" borderId="39" xfId="0" applyNumberFormat="1" applyFont="1" applyFill="1" applyBorder="1"/>
    <xf numFmtId="0" fontId="5" fillId="2" borderId="30" xfId="0" applyNumberFormat="1" applyFont="1" applyFill="1" applyBorder="1" applyAlignment="1">
      <alignment horizontal="left" vertical="top" wrapText="1"/>
    </xf>
    <xf numFmtId="0" fontId="3" fillId="2" borderId="29" xfId="0" applyNumberFormat="1" applyFont="1" applyFill="1" applyBorder="1" applyAlignment="1">
      <alignment horizontal="left" vertical="top"/>
    </xf>
    <xf numFmtId="0" fontId="3" fillId="2" borderId="39" xfId="0" applyNumberFormat="1" applyFont="1" applyFill="1" applyBorder="1" applyAlignment="1">
      <alignment horizontal="left" vertical="top"/>
    </xf>
    <xf numFmtId="0" fontId="3" fillId="2" borderId="32" xfId="0" applyNumberFormat="1" applyFont="1" applyFill="1" applyBorder="1"/>
    <xf numFmtId="0" fontId="3" fillId="2" borderId="19" xfId="0" applyNumberFormat="1" applyFont="1" applyFill="1" applyBorder="1" applyAlignment="1">
      <alignment wrapText="1"/>
    </xf>
    <xf numFmtId="3" fontId="3" fillId="0" borderId="19" xfId="0" applyNumberFormat="1" applyFont="1" applyBorder="1" applyAlignment="1" applyProtection="1">
      <alignment horizontal="center" vertical="center" wrapText="1"/>
    </xf>
    <xf numFmtId="0" fontId="3" fillId="2" borderId="19" xfId="0" applyNumberFormat="1" applyFont="1" applyFill="1" applyBorder="1" applyAlignment="1">
      <alignment horizontal="left" vertical="top"/>
    </xf>
    <xf numFmtId="3" fontId="3" fillId="0" borderId="60" xfId="0" applyNumberFormat="1" applyFont="1" applyBorder="1" applyAlignment="1" applyProtection="1">
      <alignment horizontal="center" vertical="center" wrapText="1"/>
    </xf>
    <xf numFmtId="3" fontId="3" fillId="0" borderId="8" xfId="0" applyNumberFormat="1" applyFont="1" applyBorder="1" applyAlignment="1" applyProtection="1">
      <alignment horizontal="center" vertical="center" wrapText="1"/>
    </xf>
    <xf numFmtId="3" fontId="3" fillId="0" borderId="38" xfId="0" applyNumberFormat="1" applyFont="1" applyBorder="1" applyAlignment="1" applyProtection="1">
      <alignment horizontal="center" vertical="center" wrapText="1"/>
    </xf>
    <xf numFmtId="0" fontId="4" fillId="2" borderId="19"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39" xfId="0" applyFont="1" applyFill="1" applyBorder="1" applyAlignment="1">
      <alignment horizontal="center" vertical="center" wrapText="1"/>
    </xf>
    <xf numFmtId="3" fontId="3" fillId="0" borderId="11" xfId="0" applyNumberFormat="1" applyFont="1" applyBorder="1" applyAlignment="1" applyProtection="1">
      <alignment horizontal="center" vertical="center" wrapText="1"/>
    </xf>
    <xf numFmtId="3" fontId="3" fillId="0" borderId="43" xfId="0" applyNumberFormat="1" applyFont="1" applyBorder="1" applyAlignment="1" applyProtection="1">
      <alignment horizontal="center" vertical="center" wrapText="1"/>
    </xf>
    <xf numFmtId="0" fontId="3" fillId="0" borderId="30" xfId="0" applyFont="1" applyFill="1" applyBorder="1" applyAlignment="1">
      <alignment vertical="top"/>
    </xf>
    <xf numFmtId="0" fontId="4" fillId="2" borderId="33" xfId="0" applyFont="1" applyFill="1" applyBorder="1" applyAlignment="1">
      <alignment horizontal="center" vertical="center" wrapText="1"/>
    </xf>
    <xf numFmtId="0" fontId="4" fillId="2" borderId="30" xfId="0" applyFont="1" applyFill="1" applyBorder="1" applyAlignment="1">
      <alignment horizontal="center" vertical="center" wrapText="1"/>
    </xf>
    <xf numFmtId="3" fontId="3" fillId="0" borderId="27" xfId="0" applyNumberFormat="1" applyFont="1" applyBorder="1" applyAlignment="1" applyProtection="1">
      <alignment horizontal="center" vertical="center" wrapText="1"/>
    </xf>
    <xf numFmtId="3" fontId="3" fillId="0" borderId="52" xfId="0" applyNumberFormat="1" applyFont="1" applyBorder="1" applyAlignment="1" applyProtection="1">
      <alignment horizontal="center" vertical="center" wrapText="1"/>
    </xf>
    <xf numFmtId="3" fontId="3" fillId="0" borderId="2" xfId="0" applyNumberFormat="1" applyFont="1" applyBorder="1" applyAlignment="1" applyProtection="1">
      <alignment horizontal="center" vertical="center" wrapText="1"/>
    </xf>
    <xf numFmtId="3" fontId="3" fillId="0" borderId="53" xfId="0" applyNumberFormat="1" applyFont="1" applyBorder="1" applyAlignment="1" applyProtection="1">
      <alignment horizontal="center" vertical="center" wrapText="1"/>
    </xf>
    <xf numFmtId="3" fontId="3" fillId="0" borderId="33" xfId="0" applyNumberFormat="1" applyFont="1" applyBorder="1" applyAlignment="1" applyProtection="1">
      <alignment horizontal="center" vertical="center" wrapText="1"/>
    </xf>
    <xf numFmtId="3" fontId="3" fillId="0" borderId="61" xfId="0" applyNumberFormat="1" applyFont="1" applyBorder="1" applyAlignment="1" applyProtection="1">
      <alignment horizontal="center" vertical="center" wrapText="1"/>
    </xf>
    <xf numFmtId="3" fontId="3" fillId="0" borderId="30" xfId="0" applyNumberFormat="1" applyFont="1" applyBorder="1" applyAlignment="1" applyProtection="1">
      <alignment horizontal="center" vertical="center" wrapText="1"/>
    </xf>
    <xf numFmtId="3" fontId="3" fillId="0" borderId="45" xfId="0" applyNumberFormat="1" applyFont="1" applyBorder="1" applyAlignment="1" applyProtection="1">
      <alignment horizontal="center" vertical="center" wrapText="1"/>
    </xf>
    <xf numFmtId="3" fontId="3" fillId="0" borderId="12" xfId="0" applyNumberFormat="1" applyFont="1" applyBorder="1" applyAlignment="1" applyProtection="1">
      <alignment horizontal="center" vertical="center" wrapText="1"/>
    </xf>
    <xf numFmtId="3" fontId="3" fillId="0" borderId="44" xfId="0" applyNumberFormat="1" applyFont="1" applyBorder="1" applyAlignment="1" applyProtection="1">
      <alignment horizontal="center" vertical="center" wrapText="1"/>
    </xf>
    <xf numFmtId="3" fontId="3" fillId="0" borderId="56" xfId="0" applyNumberFormat="1" applyFont="1" applyBorder="1" applyAlignment="1" applyProtection="1">
      <alignment horizontal="center" vertical="center" wrapText="1"/>
    </xf>
    <xf numFmtId="0" fontId="3" fillId="2" borderId="33" xfId="0" applyNumberFormat="1" applyFont="1" applyFill="1" applyBorder="1"/>
    <xf numFmtId="0" fontId="3" fillId="2" borderId="30" xfId="0" applyNumberFormat="1" applyFont="1" applyFill="1" applyBorder="1"/>
    <xf numFmtId="3" fontId="3" fillId="0" borderId="0" xfId="0" applyNumberFormat="1" applyFont="1" applyBorder="1" applyAlignment="1" applyProtection="1">
      <alignment horizontal="center" vertical="center" wrapText="1"/>
    </xf>
    <xf numFmtId="3" fontId="3" fillId="0" borderId="13" xfId="0" applyNumberFormat="1" applyFont="1" applyBorder="1" applyAlignment="1" applyProtection="1">
      <alignment horizontal="center" vertical="center" wrapText="1"/>
    </xf>
    <xf numFmtId="0" fontId="3" fillId="0" borderId="0" xfId="0" applyFont="1" applyFill="1"/>
    <xf numFmtId="3" fontId="3" fillId="0" borderId="9" xfId="0" applyNumberFormat="1" applyFont="1" applyBorder="1" applyAlignment="1" applyProtection="1">
      <alignment horizontal="left" vertical="top" wrapText="1"/>
      <protection locked="0"/>
    </xf>
    <xf numFmtId="0" fontId="7" fillId="0" borderId="0" xfId="0" applyFont="1" applyFill="1" applyAlignment="1">
      <alignment vertical="top"/>
    </xf>
    <xf numFmtId="0" fontId="4" fillId="0" borderId="0" xfId="0" applyFont="1"/>
    <xf numFmtId="49" fontId="16" fillId="0" borderId="1" xfId="0" applyNumberFormat="1" applyFont="1" applyBorder="1" applyProtection="1">
      <protection locked="0"/>
    </xf>
    <xf numFmtId="3" fontId="3" fillId="3" borderId="11" xfId="0" applyNumberFormat="1" applyFont="1" applyFill="1" applyBorder="1" applyAlignment="1">
      <alignment horizontal="center" vertical="center"/>
    </xf>
    <xf numFmtId="3" fontId="3" fillId="3" borderId="43" xfId="0" applyNumberFormat="1" applyFont="1" applyFill="1" applyBorder="1" applyAlignment="1" applyProtection="1">
      <alignment horizontal="center" vertical="center"/>
      <protection locked="0"/>
    </xf>
    <xf numFmtId="3" fontId="3" fillId="3" borderId="5" xfId="0" applyNumberFormat="1" applyFont="1" applyFill="1" applyBorder="1" applyAlignment="1" applyProtection="1">
      <alignment horizontal="center" vertical="center"/>
      <protection locked="0"/>
    </xf>
    <xf numFmtId="3" fontId="3" fillId="3" borderId="36" xfId="0" applyNumberFormat="1" applyFont="1" applyFill="1" applyBorder="1" applyAlignment="1" applyProtection="1">
      <alignment horizontal="center" vertical="center"/>
      <protection locked="0"/>
    </xf>
    <xf numFmtId="3" fontId="3" fillId="3" borderId="19" xfId="0" applyNumberFormat="1" applyFont="1" applyFill="1" applyBorder="1" applyAlignment="1">
      <alignment horizontal="center" vertical="center"/>
    </xf>
    <xf numFmtId="3" fontId="3" fillId="3" borderId="16" xfId="0" applyNumberFormat="1" applyFont="1" applyFill="1" applyBorder="1" applyAlignment="1">
      <alignment horizontal="center" vertical="center"/>
    </xf>
    <xf numFmtId="3" fontId="3" fillId="3" borderId="8" xfId="0" applyNumberFormat="1" applyFont="1" applyFill="1" applyBorder="1" applyAlignment="1">
      <alignment horizontal="center" vertical="center"/>
    </xf>
    <xf numFmtId="3" fontId="3" fillId="3" borderId="7" xfId="0" applyNumberFormat="1" applyFont="1" applyFill="1" applyBorder="1" applyAlignment="1" applyProtection="1">
      <alignment horizontal="center" vertical="center"/>
      <protection locked="0"/>
    </xf>
    <xf numFmtId="3" fontId="3" fillId="3" borderId="1" xfId="0" applyNumberFormat="1" applyFont="1" applyFill="1" applyBorder="1" applyAlignment="1" applyProtection="1">
      <alignment horizontal="center" vertical="center"/>
      <protection locked="0"/>
    </xf>
    <xf numFmtId="3" fontId="3" fillId="3" borderId="9" xfId="0" applyNumberFormat="1" applyFont="1" applyFill="1" applyBorder="1" applyAlignment="1" applyProtection="1">
      <alignment horizontal="center" vertical="center"/>
      <protection locked="0"/>
    </xf>
    <xf numFmtId="3" fontId="3" fillId="3" borderId="38" xfId="0" applyNumberFormat="1" applyFont="1" applyFill="1" applyBorder="1" applyAlignment="1">
      <alignment horizontal="center" vertical="center"/>
    </xf>
    <xf numFmtId="3" fontId="3" fillId="3" borderId="35" xfId="0" applyNumberFormat="1" applyFont="1" applyFill="1" applyBorder="1" applyAlignment="1" applyProtection="1">
      <alignment horizontal="center" vertical="center"/>
      <protection locked="0"/>
    </xf>
    <xf numFmtId="3" fontId="3" fillId="3" borderId="4" xfId="0" applyNumberFormat="1" applyFont="1" applyFill="1" applyBorder="1" applyAlignment="1" applyProtection="1">
      <alignment horizontal="center" vertical="center"/>
      <protection locked="0"/>
    </xf>
    <xf numFmtId="3" fontId="3" fillId="3" borderId="10" xfId="0" applyNumberFormat="1" applyFont="1" applyFill="1" applyBorder="1" applyAlignment="1" applyProtection="1">
      <alignment horizontal="center" vertical="center"/>
      <protection locked="0"/>
    </xf>
    <xf numFmtId="3" fontId="3" fillId="3" borderId="34" xfId="0" applyNumberFormat="1" applyFont="1" applyFill="1" applyBorder="1" applyAlignment="1">
      <alignment horizontal="center" vertical="center"/>
    </xf>
    <xf numFmtId="3" fontId="3" fillId="3" borderId="30" xfId="0" applyNumberFormat="1" applyFont="1" applyFill="1" applyBorder="1" applyAlignment="1" applyProtection="1">
      <alignment horizontal="center" vertical="center"/>
    </xf>
    <xf numFmtId="3" fontId="3" fillId="3" borderId="29" xfId="0" applyNumberFormat="1" applyFont="1" applyFill="1" applyBorder="1" applyAlignment="1" applyProtection="1">
      <alignment horizontal="center" vertical="center"/>
    </xf>
    <xf numFmtId="3" fontId="3" fillId="3" borderId="39" xfId="0" applyNumberFormat="1" applyFont="1" applyFill="1" applyBorder="1" applyAlignment="1" applyProtection="1">
      <alignment horizontal="center" vertical="center"/>
    </xf>
    <xf numFmtId="3" fontId="3" fillId="3" borderId="56" xfId="0" applyNumberFormat="1" applyFont="1" applyFill="1" applyBorder="1" applyAlignment="1" applyProtection="1">
      <alignment horizontal="center" vertical="center"/>
    </xf>
    <xf numFmtId="3" fontId="3" fillId="3" borderId="28" xfId="0" applyNumberFormat="1" applyFont="1" applyFill="1" applyBorder="1" applyAlignment="1" applyProtection="1">
      <alignment horizontal="center" vertical="center"/>
    </xf>
    <xf numFmtId="3" fontId="3" fillId="3" borderId="57" xfId="0" applyNumberFormat="1" applyFont="1" applyFill="1" applyBorder="1" applyAlignment="1" applyProtection="1">
      <alignment horizontal="center" vertical="center"/>
    </xf>
    <xf numFmtId="49" fontId="16" fillId="0" borderId="1" xfId="0" applyNumberFormat="1" applyFont="1" applyBorder="1" applyAlignment="1">
      <alignment vertical="top"/>
    </xf>
    <xf numFmtId="14" fontId="10" fillId="0" borderId="1" xfId="0" applyNumberFormat="1" applyFont="1" applyBorder="1" applyAlignment="1" applyProtection="1">
      <alignment vertical="center"/>
      <protection locked="0"/>
    </xf>
    <xf numFmtId="3" fontId="3" fillId="3" borderId="34" xfId="0" applyNumberFormat="1" applyFont="1" applyFill="1" applyBorder="1" applyAlignment="1">
      <alignment horizontal="center" vertical="center"/>
    </xf>
    <xf numFmtId="3" fontId="3" fillId="3" borderId="28" xfId="0" applyNumberFormat="1" applyFont="1" applyFill="1" applyBorder="1" applyAlignment="1" applyProtection="1">
      <alignment horizontal="center" vertical="center"/>
      <protection locked="0"/>
    </xf>
    <xf numFmtId="3" fontId="3" fillId="3" borderId="57" xfId="0" applyNumberFormat="1" applyFont="1" applyFill="1" applyBorder="1" applyAlignment="1" applyProtection="1">
      <alignment horizontal="center" vertical="center"/>
      <protection locked="0"/>
    </xf>
    <xf numFmtId="0" fontId="3" fillId="3" borderId="0" xfId="0" applyFont="1" applyFill="1" applyAlignment="1">
      <alignment horizontal="center" vertical="center"/>
    </xf>
    <xf numFmtId="0" fontId="1" fillId="0" borderId="0" xfId="0" applyFont="1"/>
    <xf numFmtId="0" fontId="0" fillId="11" borderId="1" xfId="0" applyFill="1" applyBorder="1"/>
    <xf numFmtId="0" fontId="1" fillId="11" borderId="1" xfId="0" applyFont="1" applyFill="1" applyBorder="1"/>
    <xf numFmtId="0" fontId="1" fillId="12" borderId="1" xfId="0" applyFont="1" applyFill="1" applyBorder="1"/>
    <xf numFmtId="0" fontId="0" fillId="12" borderId="1" xfId="0" applyFill="1" applyBorder="1"/>
    <xf numFmtId="3" fontId="3" fillId="3" borderId="56" xfId="0" applyNumberFormat="1" applyFont="1" applyFill="1" applyBorder="1" applyAlignment="1" applyProtection="1">
      <alignment horizontal="center" vertical="center"/>
      <protection locked="0"/>
    </xf>
    <xf numFmtId="3" fontId="3" fillId="3" borderId="61" xfId="0" applyNumberFormat="1" applyFont="1" applyFill="1" applyBorder="1" applyAlignment="1" applyProtection="1">
      <alignment horizontal="center" vertical="center"/>
      <protection locked="0"/>
    </xf>
    <xf numFmtId="49" fontId="18" fillId="11" borderId="30" xfId="0" applyNumberFormat="1" applyFont="1" applyFill="1" applyBorder="1" applyAlignment="1" applyProtection="1">
      <alignment horizontal="center" vertical="center"/>
      <protection locked="0"/>
    </xf>
    <xf numFmtId="49" fontId="18" fillId="11" borderId="19" xfId="0" applyNumberFormat="1" applyFont="1" applyFill="1" applyBorder="1" applyAlignment="1" applyProtection="1">
      <alignment horizontal="center" vertical="center"/>
      <protection locked="0"/>
    </xf>
    <xf numFmtId="49" fontId="18" fillId="11" borderId="39" xfId="0" applyNumberFormat="1" applyFont="1" applyFill="1" applyBorder="1" applyAlignment="1" applyProtection="1">
      <alignment horizontal="center" vertical="center" wrapText="1"/>
      <protection locked="0"/>
    </xf>
    <xf numFmtId="49" fontId="18" fillId="11" borderId="26" xfId="0" applyNumberFormat="1" applyFont="1" applyFill="1" applyBorder="1" applyAlignment="1" applyProtection="1">
      <alignment horizontal="center" vertical="center"/>
      <protection locked="0"/>
    </xf>
    <xf numFmtId="3" fontId="18" fillId="11" borderId="40" xfId="0" applyNumberFormat="1" applyFont="1" applyFill="1" applyBorder="1" applyAlignment="1" applyProtection="1">
      <alignment horizontal="center" vertical="center"/>
      <protection locked="0"/>
    </xf>
    <xf numFmtId="3" fontId="18" fillId="11" borderId="19" xfId="0" applyNumberFormat="1" applyFont="1" applyFill="1" applyBorder="1" applyAlignment="1" applyProtection="1">
      <alignment horizontal="center" vertical="center"/>
      <protection locked="0"/>
    </xf>
    <xf numFmtId="3" fontId="0" fillId="5" borderId="14" xfId="0" applyNumberFormat="1" applyFill="1" applyBorder="1"/>
    <xf numFmtId="3" fontId="0" fillId="5" borderId="6" xfId="0" applyNumberFormat="1" applyFill="1" applyBorder="1"/>
    <xf numFmtId="3" fontId="0" fillId="5" borderId="58" xfId="0" applyNumberFormat="1" applyFill="1" applyBorder="1"/>
    <xf numFmtId="3" fontId="0" fillId="5" borderId="12" xfId="0" applyNumberFormat="1" applyFill="1" applyBorder="1"/>
    <xf numFmtId="3" fontId="0" fillId="5" borderId="1" xfId="0" applyNumberFormat="1" applyFill="1" applyBorder="1"/>
    <xf numFmtId="14" fontId="0" fillId="0" borderId="15" xfId="0" applyNumberFormat="1" applyBorder="1"/>
    <xf numFmtId="0" fontId="0" fillId="0" borderId="8" xfId="0" applyBorder="1"/>
    <xf numFmtId="0" fontId="0" fillId="0" borderId="0" xfId="0" applyAlignment="1">
      <alignment horizontal="left" vertical="center"/>
    </xf>
    <xf numFmtId="0" fontId="3" fillId="3" borderId="19" xfId="0" applyFont="1" applyFill="1" applyBorder="1" applyAlignment="1">
      <alignment vertical="top" wrapText="1"/>
    </xf>
    <xf numFmtId="0" fontId="3" fillId="2" borderId="39" xfId="0" applyNumberFormat="1" applyFont="1" applyFill="1" applyBorder="1" applyAlignment="1">
      <alignment horizontal="left" vertical="top" wrapText="1"/>
    </xf>
    <xf numFmtId="0" fontId="3" fillId="2" borderId="59" xfId="0" applyNumberFormat="1" applyFont="1" applyFill="1" applyBorder="1" applyAlignment="1">
      <alignment horizontal="left" vertical="top" wrapText="1"/>
    </xf>
    <xf numFmtId="49" fontId="18" fillId="11" borderId="30" xfId="0" applyNumberFormat="1" applyFont="1" applyFill="1" applyBorder="1" applyAlignment="1" applyProtection="1">
      <alignment horizontal="center" vertical="center" wrapText="1"/>
      <protection locked="0"/>
    </xf>
    <xf numFmtId="49" fontId="18" fillId="11" borderId="29" xfId="0" applyNumberFormat="1" applyFont="1" applyFill="1" applyBorder="1" applyAlignment="1" applyProtection="1">
      <alignment horizontal="center" vertical="center" wrapText="1"/>
      <protection locked="0"/>
    </xf>
    <xf numFmtId="49" fontId="18" fillId="11" borderId="26" xfId="0" applyNumberFormat="1" applyFont="1" applyFill="1" applyBorder="1" applyAlignment="1" applyProtection="1">
      <alignment horizontal="center" vertical="center" wrapText="1"/>
      <protection locked="0"/>
    </xf>
    <xf numFmtId="0" fontId="4" fillId="4" borderId="19"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23" xfId="0" applyNumberFormat="1" applyFont="1" applyFill="1" applyBorder="1" applyAlignment="1">
      <alignment horizontal="center" vertical="center" wrapText="1"/>
    </xf>
    <xf numFmtId="0" fontId="4" fillId="4" borderId="23"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23" xfId="0" applyNumberFormat="1" applyFont="1" applyFill="1" applyBorder="1" applyAlignment="1">
      <alignment horizontal="left" vertical="center" wrapText="1"/>
    </xf>
    <xf numFmtId="0" fontId="4" fillId="4" borderId="39" xfId="0" applyFont="1" applyFill="1" applyBorder="1" applyAlignment="1">
      <alignment horizontal="center" vertical="center" wrapText="1"/>
    </xf>
    <xf numFmtId="0" fontId="3" fillId="3" borderId="0" xfId="0" applyFont="1" applyFill="1" applyProtection="1"/>
    <xf numFmtId="1" fontId="3" fillId="3" borderId="0" xfId="0" applyNumberFormat="1" applyFont="1" applyFill="1" applyBorder="1" applyAlignment="1" applyProtection="1">
      <alignment horizontal="center" vertical="center"/>
    </xf>
    <xf numFmtId="0" fontId="3" fillId="3" borderId="0" xfId="0" applyFont="1" applyFill="1" applyBorder="1" applyAlignment="1" applyProtection="1">
      <alignment horizontal="left" vertical="top" wrapText="1"/>
    </xf>
    <xf numFmtId="0" fontId="4" fillId="4" borderId="63" xfId="0" applyFont="1" applyFill="1" applyBorder="1" applyAlignment="1">
      <alignment horizontal="left" vertical="top"/>
    </xf>
    <xf numFmtId="0" fontId="4" fillId="4" borderId="65" xfId="0" applyFont="1" applyFill="1" applyBorder="1" applyAlignment="1">
      <alignment horizontal="left" vertical="top"/>
    </xf>
    <xf numFmtId="0" fontId="4" fillId="4" borderId="62" xfId="0" applyFont="1" applyFill="1" applyBorder="1" applyAlignment="1">
      <alignment horizontal="left" vertical="top"/>
    </xf>
    <xf numFmtId="0" fontId="4" fillId="4" borderId="69" xfId="0" applyFont="1" applyFill="1" applyBorder="1" applyAlignment="1">
      <alignment horizontal="left" vertical="top"/>
    </xf>
    <xf numFmtId="0" fontId="4" fillId="4" borderId="18" xfId="0" applyFont="1" applyFill="1" applyBorder="1" applyAlignment="1">
      <alignment horizontal="center" vertical="center" wrapText="1"/>
    </xf>
    <xf numFmtId="0" fontId="4" fillId="4" borderId="19" xfId="0" applyNumberFormat="1" applyFont="1" applyFill="1" applyBorder="1" applyAlignment="1">
      <alignment horizontal="left" vertical="center" wrapText="1"/>
    </xf>
    <xf numFmtId="3" fontId="3" fillId="3" borderId="70" xfId="0" applyNumberFormat="1" applyFont="1" applyFill="1" applyBorder="1" applyAlignment="1">
      <alignment horizontal="center" vertical="center"/>
    </xf>
    <xf numFmtId="3" fontId="3" fillId="3" borderId="32" xfId="0" applyNumberFormat="1" applyFont="1" applyFill="1" applyBorder="1" applyAlignment="1" applyProtection="1">
      <alignment horizontal="center" vertical="center"/>
    </xf>
    <xf numFmtId="0" fontId="0" fillId="11" borderId="1" xfId="0" quotePrefix="1" applyFill="1" applyBorder="1"/>
    <xf numFmtId="49" fontId="0" fillId="12" borderId="1" xfId="0" applyNumberFormat="1" applyFill="1" applyBorder="1"/>
    <xf numFmtId="0" fontId="20" fillId="0" borderId="0" xfId="0" applyFont="1"/>
    <xf numFmtId="3" fontId="0" fillId="0" borderId="0" xfId="0" applyNumberFormat="1"/>
    <xf numFmtId="3" fontId="3" fillId="3" borderId="0" xfId="0" applyNumberFormat="1" applyFont="1" applyFill="1"/>
    <xf numFmtId="3" fontId="0" fillId="5" borderId="67" xfId="0" applyNumberFormat="1" applyFill="1" applyBorder="1"/>
    <xf numFmtId="0" fontId="1" fillId="13" borderId="20" xfId="0" applyFont="1" applyFill="1" applyBorder="1"/>
    <xf numFmtId="0" fontId="1" fillId="13" borderId="44" xfId="0" applyFont="1" applyFill="1" applyBorder="1"/>
    <xf numFmtId="0" fontId="0" fillId="0" borderId="68" xfId="0" applyBorder="1"/>
    <xf numFmtId="0" fontId="1" fillId="0" borderId="8" xfId="0" applyFont="1" applyBorder="1"/>
    <xf numFmtId="14" fontId="1" fillId="0" borderId="15" xfId="0" applyNumberFormat="1" applyFont="1" applyBorder="1"/>
    <xf numFmtId="3" fontId="1" fillId="5" borderId="14" xfId="0" applyNumberFormat="1" applyFont="1" applyFill="1" applyBorder="1"/>
    <xf numFmtId="3" fontId="1" fillId="5" borderId="6" xfId="0" applyNumberFormat="1" applyFont="1" applyFill="1" applyBorder="1"/>
    <xf numFmtId="3" fontId="1" fillId="5" borderId="58" xfId="0" applyNumberFormat="1" applyFont="1" applyFill="1" applyBorder="1"/>
    <xf numFmtId="0" fontId="1" fillId="0" borderId="68" xfId="0" applyFont="1" applyBorder="1"/>
    <xf numFmtId="14" fontId="1" fillId="0" borderId="17" xfId="0" applyNumberFormat="1" applyFont="1" applyBorder="1"/>
    <xf numFmtId="0" fontId="3" fillId="0" borderId="0" xfId="0" applyFont="1" applyProtection="1"/>
    <xf numFmtId="0" fontId="4" fillId="0" borderId="0" xfId="0" applyFont="1" applyProtection="1"/>
    <xf numFmtId="0" fontId="8" fillId="0" borderId="0" xfId="0" applyFont="1" applyFill="1" applyAlignment="1" applyProtection="1">
      <alignment horizontal="left" vertical="top"/>
    </xf>
    <xf numFmtId="0" fontId="6" fillId="0" borderId="0" xfId="0" applyFont="1" applyFill="1" applyAlignment="1" applyProtection="1">
      <alignment horizontal="left" vertical="top"/>
    </xf>
    <xf numFmtId="0" fontId="4" fillId="2" borderId="29" xfId="0" applyFont="1" applyFill="1" applyBorder="1" applyAlignment="1" applyProtection="1">
      <alignment horizontal="left" vertical="top" wrapText="1"/>
    </xf>
    <xf numFmtId="0" fontId="3" fillId="0" borderId="0" xfId="0" applyFont="1" applyFill="1" applyBorder="1" applyProtection="1"/>
    <xf numFmtId="0" fontId="3" fillId="0" borderId="9" xfId="0" applyFont="1" applyBorder="1" applyAlignment="1" applyProtection="1">
      <alignment horizontal="left" vertical="top" wrapText="1"/>
    </xf>
    <xf numFmtId="0" fontId="3" fillId="0" borderId="9" xfId="0" applyFont="1" applyBorder="1" applyAlignment="1" applyProtection="1">
      <alignment vertical="top" wrapText="1"/>
    </xf>
    <xf numFmtId="0" fontId="3" fillId="0" borderId="30" xfId="0" applyFont="1" applyBorder="1" applyProtection="1">
      <protection locked="0"/>
    </xf>
    <xf numFmtId="0" fontId="3" fillId="0" borderId="27" xfId="0" applyFont="1" applyBorder="1" applyProtection="1">
      <protection locked="0"/>
    </xf>
    <xf numFmtId="0" fontId="5" fillId="2" borderId="30" xfId="0" applyFont="1" applyFill="1" applyBorder="1" applyAlignment="1" applyProtection="1">
      <alignment horizontal="left" vertical="top" wrapText="1"/>
      <protection locked="0"/>
    </xf>
    <xf numFmtId="0" fontId="3" fillId="2" borderId="29" xfId="0" applyFont="1" applyFill="1" applyBorder="1" applyAlignment="1" applyProtection="1">
      <alignment vertical="top"/>
      <protection locked="0"/>
    </xf>
    <xf numFmtId="0" fontId="3" fillId="2" borderId="39" xfId="0" applyFont="1" applyFill="1" applyBorder="1" applyAlignment="1" applyProtection="1">
      <alignment vertical="top"/>
      <protection locked="0"/>
    </xf>
    <xf numFmtId="0" fontId="3" fillId="2" borderId="32" xfId="0" applyFont="1" applyFill="1" applyBorder="1" applyAlignment="1" applyProtection="1">
      <alignment horizontal="left" vertical="top"/>
      <protection locked="0"/>
    </xf>
    <xf numFmtId="0" fontId="3" fillId="2" borderId="29" xfId="0" applyFont="1" applyFill="1" applyBorder="1" applyProtection="1">
      <protection locked="0"/>
    </xf>
    <xf numFmtId="0" fontId="3" fillId="2" borderId="33" xfId="0" applyFont="1" applyFill="1" applyBorder="1" applyProtection="1">
      <protection locked="0"/>
    </xf>
    <xf numFmtId="0" fontId="3" fillId="2" borderId="30" xfId="0" applyFont="1" applyFill="1" applyBorder="1" applyProtection="1">
      <protection locked="0"/>
    </xf>
    <xf numFmtId="0" fontId="3" fillId="2" borderId="39" xfId="0" applyFont="1" applyFill="1" applyBorder="1" applyProtection="1">
      <protection locked="0"/>
    </xf>
    <xf numFmtId="0" fontId="3" fillId="0" borderId="0" xfId="0" applyFont="1" applyProtection="1">
      <protection locked="0"/>
    </xf>
    <xf numFmtId="0" fontId="21" fillId="2" borderId="30"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3" fillId="0" borderId="24" xfId="0" applyNumberFormat="1" applyFont="1" applyFill="1" applyBorder="1" applyAlignment="1">
      <alignment horizontal="left" vertical="top" wrapText="1"/>
    </xf>
    <xf numFmtId="0" fontId="3" fillId="0" borderId="9" xfId="0" applyNumberFormat="1" applyFont="1" applyFill="1" applyBorder="1" applyAlignment="1">
      <alignment horizontal="left" vertical="top" wrapText="1"/>
    </xf>
    <xf numFmtId="0" fontId="3" fillId="0" borderId="21" xfId="0" applyNumberFormat="1" applyFont="1" applyFill="1" applyBorder="1" applyAlignment="1">
      <alignment horizontal="left" vertical="top" wrapText="1"/>
    </xf>
    <xf numFmtId="0" fontId="0" fillId="0" borderId="0" xfId="0" applyProtection="1"/>
    <xf numFmtId="0" fontId="12" fillId="2" borderId="42" xfId="0" applyFont="1" applyFill="1" applyBorder="1" applyProtection="1"/>
    <xf numFmtId="0" fontId="12" fillId="0" borderId="0" xfId="0" applyFont="1" applyAlignment="1" applyProtection="1"/>
    <xf numFmtId="14" fontId="0" fillId="0" borderId="0" xfId="0" applyNumberFormat="1" applyProtection="1"/>
    <xf numFmtId="49" fontId="13" fillId="0" borderId="38" xfId="0" applyNumberFormat="1" applyFont="1" applyBorder="1" applyAlignment="1" applyProtection="1">
      <alignment vertical="top" wrapText="1"/>
    </xf>
    <xf numFmtId="49" fontId="13" fillId="0" borderId="19" xfId="0" applyNumberFormat="1" applyFont="1" applyBorder="1" applyAlignment="1" applyProtection="1">
      <alignment vertical="top" wrapText="1"/>
    </xf>
    <xf numFmtId="1" fontId="9" fillId="10" borderId="8" xfId="0" applyNumberFormat="1" applyFont="1" applyFill="1" applyBorder="1" applyAlignment="1" applyProtection="1">
      <alignment horizontal="center" vertical="center"/>
    </xf>
    <xf numFmtId="1" fontId="9" fillId="9" borderId="8" xfId="0" applyNumberFormat="1" applyFont="1" applyFill="1" applyBorder="1" applyAlignment="1" applyProtection="1">
      <alignment horizontal="center" vertical="center"/>
    </xf>
    <xf numFmtId="0" fontId="3" fillId="0" borderId="27" xfId="0" applyFont="1" applyFill="1" applyBorder="1" applyAlignment="1">
      <alignment wrapText="1"/>
    </xf>
    <xf numFmtId="0" fontId="3" fillId="0" borderId="0" xfId="0" applyFont="1" applyBorder="1"/>
    <xf numFmtId="0" fontId="0" fillId="0" borderId="0" xfId="0" applyFill="1"/>
    <xf numFmtId="0" fontId="1" fillId="15" borderId="0" xfId="0" applyFont="1" applyFill="1"/>
    <xf numFmtId="3" fontId="1" fillId="15" borderId="0" xfId="0" applyNumberFormat="1" applyFont="1" applyFill="1"/>
    <xf numFmtId="0" fontId="1" fillId="0" borderId="0" xfId="0" applyFont="1" applyFill="1"/>
    <xf numFmtId="0" fontId="3" fillId="0" borderId="0" xfId="0" applyFont="1" applyFill="1" applyProtection="1"/>
    <xf numFmtId="0" fontId="3" fillId="0" borderId="1" xfId="0" applyFont="1" applyFill="1" applyBorder="1" applyAlignment="1" applyProtection="1">
      <alignment horizontal="left" vertical="top" wrapText="1"/>
    </xf>
    <xf numFmtId="0" fontId="23" fillId="16" borderId="38" xfId="0" applyFont="1" applyFill="1" applyBorder="1" applyAlignment="1">
      <alignment horizontal="left" vertical="top" wrapText="1"/>
    </xf>
    <xf numFmtId="3" fontId="23" fillId="16" borderId="38" xfId="0" applyNumberFormat="1" applyFont="1" applyFill="1" applyBorder="1" applyAlignment="1">
      <alignment horizontal="center" vertical="center"/>
    </xf>
    <xf numFmtId="3" fontId="23" fillId="16" borderId="37" xfId="0" applyNumberFormat="1" applyFont="1" applyFill="1" applyBorder="1" applyAlignment="1" applyProtection="1">
      <alignment horizontal="center" vertical="center"/>
    </xf>
    <xf numFmtId="3" fontId="23" fillId="16" borderId="20" xfId="0" applyNumberFormat="1" applyFont="1" applyFill="1" applyBorder="1" applyAlignment="1" applyProtection="1">
      <alignment horizontal="center" vertical="center"/>
    </xf>
    <xf numFmtId="3" fontId="23" fillId="16" borderId="21" xfId="0" applyNumberFormat="1" applyFont="1" applyFill="1" applyBorder="1" applyAlignment="1" applyProtection="1">
      <alignment horizontal="center" vertical="center"/>
    </xf>
    <xf numFmtId="0" fontId="23" fillId="16" borderId="62" xfId="0" applyFont="1" applyFill="1" applyBorder="1" applyAlignment="1">
      <alignment horizontal="left" vertical="top" wrapText="1"/>
    </xf>
    <xf numFmtId="3" fontId="23" fillId="16" borderId="23" xfId="0" applyNumberFormat="1" applyFont="1" applyFill="1" applyBorder="1" applyAlignment="1">
      <alignment horizontal="center" vertical="center"/>
    </xf>
    <xf numFmtId="3" fontId="23" fillId="16" borderId="71" xfId="0" applyNumberFormat="1" applyFont="1" applyFill="1" applyBorder="1" applyAlignment="1" applyProtection="1">
      <alignment horizontal="center" vertical="center"/>
    </xf>
    <xf numFmtId="3" fontId="23" fillId="16" borderId="41" xfId="0" applyNumberFormat="1" applyFont="1" applyFill="1" applyBorder="1" applyAlignment="1" applyProtection="1">
      <alignment horizontal="center" vertical="center"/>
    </xf>
    <xf numFmtId="3" fontId="23" fillId="16" borderId="72" xfId="0" applyNumberFormat="1" applyFont="1" applyFill="1" applyBorder="1" applyAlignment="1" applyProtection="1">
      <alignment horizontal="center" vertical="center"/>
    </xf>
    <xf numFmtId="0" fontId="23" fillId="16" borderId="64" xfId="0" applyFont="1" applyFill="1" applyBorder="1" applyAlignment="1">
      <alignment horizontal="left" vertical="top" wrapText="1"/>
    </xf>
    <xf numFmtId="3" fontId="23" fillId="16" borderId="44" xfId="0" applyNumberFormat="1" applyFont="1" applyFill="1" applyBorder="1" applyAlignment="1" applyProtection="1">
      <alignment horizontal="center" vertical="center"/>
    </xf>
    <xf numFmtId="3" fontId="23" fillId="16" borderId="54" xfId="0" applyNumberFormat="1" applyFont="1" applyFill="1" applyBorder="1" applyAlignment="1" applyProtection="1">
      <alignment horizontal="center" vertical="center"/>
    </xf>
    <xf numFmtId="0" fontId="23" fillId="16" borderId="73" xfId="0" applyFont="1" applyFill="1" applyBorder="1" applyAlignment="1">
      <alignment horizontal="left" vertical="top" wrapText="1"/>
    </xf>
    <xf numFmtId="0" fontId="23" fillId="14" borderId="60" xfId="0" applyFont="1" applyFill="1" applyBorder="1" applyAlignment="1">
      <alignment horizontal="left" vertical="top" wrapText="1"/>
    </xf>
    <xf numFmtId="3" fontId="23" fillId="14" borderId="60" xfId="0" applyNumberFormat="1" applyFont="1" applyFill="1" applyBorder="1" applyAlignment="1">
      <alignment horizontal="center" vertical="center"/>
    </xf>
    <xf numFmtId="3" fontId="23" fillId="14" borderId="31" xfId="0" applyNumberFormat="1" applyFont="1" applyFill="1" applyBorder="1" applyAlignment="1" applyProtection="1">
      <alignment horizontal="center" vertical="center"/>
    </xf>
    <xf numFmtId="3" fontId="23" fillId="14" borderId="22" xfId="0" applyNumberFormat="1" applyFont="1" applyFill="1" applyBorder="1" applyAlignment="1" applyProtection="1">
      <alignment horizontal="center" vertical="center"/>
    </xf>
    <xf numFmtId="3" fontId="23" fillId="14" borderId="24" xfId="0" applyNumberFormat="1" applyFont="1" applyFill="1" applyBorder="1" applyAlignment="1" applyProtection="1">
      <alignment horizontal="center" vertical="center"/>
    </xf>
    <xf numFmtId="0" fontId="23" fillId="14" borderId="74" xfId="0" applyFont="1" applyFill="1" applyBorder="1" applyAlignment="1">
      <alignment horizontal="left" vertical="top" wrapText="1"/>
    </xf>
    <xf numFmtId="3" fontId="23" fillId="14" borderId="70" xfId="0" applyNumberFormat="1" applyFont="1" applyFill="1" applyBorder="1" applyAlignment="1">
      <alignment horizontal="center" vertical="center"/>
    </xf>
    <xf numFmtId="3" fontId="23" fillId="14" borderId="4" xfId="0" applyNumberFormat="1" applyFont="1" applyFill="1" applyBorder="1" applyAlignment="1" applyProtection="1">
      <alignment horizontal="center" vertical="center"/>
    </xf>
    <xf numFmtId="3" fontId="23" fillId="14" borderId="10" xfId="0" applyNumberFormat="1" applyFont="1" applyFill="1" applyBorder="1" applyAlignment="1" applyProtection="1">
      <alignment horizontal="center" vertical="center"/>
    </xf>
    <xf numFmtId="0" fontId="23" fillId="14" borderId="63" xfId="0" applyFont="1" applyFill="1" applyBorder="1" applyAlignment="1">
      <alignment horizontal="left" vertical="top" wrapText="1"/>
    </xf>
    <xf numFmtId="3" fontId="23" fillId="14" borderId="45" xfId="0" applyNumberFormat="1" applyFont="1" applyFill="1" applyBorder="1" applyAlignment="1" applyProtection="1">
      <alignment horizontal="center" vertical="center"/>
    </xf>
    <xf numFmtId="3" fontId="23" fillId="14" borderId="42" xfId="0" applyNumberFormat="1" applyFont="1" applyFill="1" applyBorder="1" applyAlignment="1" applyProtection="1">
      <alignment horizontal="center" vertical="center"/>
    </xf>
    <xf numFmtId="0" fontId="23" fillId="14" borderId="19" xfId="0" applyFont="1" applyFill="1" applyBorder="1" applyAlignment="1">
      <alignment horizontal="left" vertical="top" wrapText="1"/>
    </xf>
    <xf numFmtId="3" fontId="23" fillId="14" borderId="19" xfId="0" applyNumberFormat="1" applyFont="1" applyFill="1" applyBorder="1" applyAlignment="1">
      <alignment horizontal="center" vertical="center"/>
    </xf>
    <xf numFmtId="3" fontId="23" fillId="14" borderId="32" xfId="0" applyNumberFormat="1" applyFont="1" applyFill="1" applyBorder="1" applyAlignment="1">
      <alignment horizontal="center" vertical="center"/>
    </xf>
    <xf numFmtId="3" fontId="23" fillId="14" borderId="39" xfId="0" applyNumberFormat="1" applyFont="1" applyFill="1" applyBorder="1" applyAlignment="1">
      <alignment horizontal="center" vertical="center"/>
    </xf>
    <xf numFmtId="3" fontId="23" fillId="14" borderId="30" xfId="0" applyNumberFormat="1" applyFont="1" applyFill="1" applyBorder="1" applyAlignment="1" applyProtection="1">
      <alignment horizontal="center" vertical="center"/>
    </xf>
    <xf numFmtId="3" fontId="23" fillId="14" borderId="29" xfId="0" applyNumberFormat="1" applyFont="1" applyFill="1" applyBorder="1" applyAlignment="1" applyProtection="1">
      <alignment horizontal="center" vertical="center"/>
    </xf>
    <xf numFmtId="3" fontId="23" fillId="14" borderId="39" xfId="0" applyNumberFormat="1" applyFont="1" applyFill="1" applyBorder="1" applyAlignment="1" applyProtection="1">
      <alignment horizontal="center" vertical="center"/>
    </xf>
    <xf numFmtId="0" fontId="23" fillId="14" borderId="25" xfId="0" applyFont="1" applyFill="1" applyBorder="1" applyAlignment="1">
      <alignment vertical="top" wrapText="1"/>
    </xf>
    <xf numFmtId="3" fontId="23" fillId="14" borderId="32" xfId="0" applyNumberFormat="1" applyFont="1" applyFill="1" applyBorder="1" applyAlignment="1" applyProtection="1">
      <alignment horizontal="center" vertical="center"/>
    </xf>
    <xf numFmtId="0" fontId="23" fillId="14" borderId="19" xfId="0" applyFont="1" applyFill="1" applyBorder="1" applyAlignment="1" applyProtection="1">
      <alignment horizontal="left" vertical="top" wrapText="1"/>
    </xf>
    <xf numFmtId="3" fontId="23" fillId="14" borderId="19" xfId="0" applyNumberFormat="1" applyFont="1" applyFill="1" applyBorder="1" applyAlignment="1" applyProtection="1">
      <alignment horizontal="center" vertical="center"/>
    </xf>
    <xf numFmtId="3" fontId="23" fillId="14" borderId="26" xfId="0" applyNumberFormat="1" applyFont="1" applyFill="1" applyBorder="1" applyAlignment="1">
      <alignment horizontal="center" vertical="center"/>
    </xf>
    <xf numFmtId="0" fontId="23" fillId="14" borderId="25" xfId="0" applyFont="1" applyFill="1" applyBorder="1" applyAlignment="1">
      <alignment horizontal="left" vertical="top" wrapText="1"/>
    </xf>
    <xf numFmtId="49" fontId="16" fillId="0" borderId="9" xfId="0" applyNumberFormat="1" applyFont="1" applyFill="1" applyBorder="1" applyProtection="1"/>
    <xf numFmtId="14" fontId="10" fillId="0" borderId="21" xfId="0" applyNumberFormat="1" applyFont="1" applyFill="1" applyBorder="1" applyAlignment="1" applyProtection="1">
      <alignment horizontal="left" vertical="center"/>
      <protection locked="0"/>
    </xf>
    <xf numFmtId="0" fontId="4" fillId="0" borderId="19" xfId="0" applyFont="1" applyBorder="1" applyAlignment="1" applyProtection="1">
      <alignment horizontal="left" vertical="top"/>
    </xf>
    <xf numFmtId="0" fontId="3" fillId="0" borderId="60" xfId="0" applyFont="1" applyBorder="1" applyAlignment="1" applyProtection="1">
      <alignment horizontal="left" vertical="top"/>
    </xf>
    <xf numFmtId="0" fontId="3" fillId="0" borderId="22" xfId="0" applyFont="1" applyFill="1" applyBorder="1" applyAlignment="1" applyProtection="1">
      <alignment horizontal="left" vertical="top" wrapText="1"/>
    </xf>
    <xf numFmtId="0" fontId="3" fillId="0" borderId="24" xfId="0" applyFont="1" applyBorder="1" applyAlignment="1" applyProtection="1">
      <alignment horizontal="left" vertical="top" wrapText="1"/>
    </xf>
    <xf numFmtId="3" fontId="3" fillId="0" borderId="24" xfId="0" applyNumberFormat="1" applyFont="1" applyBorder="1" applyAlignment="1" applyProtection="1">
      <alignment horizontal="left" vertical="top" wrapText="1"/>
      <protection locked="0"/>
    </xf>
    <xf numFmtId="0" fontId="3" fillId="0" borderId="8" xfId="0" applyFont="1" applyBorder="1" applyAlignment="1" applyProtection="1">
      <alignment horizontal="left" vertical="top"/>
    </xf>
    <xf numFmtId="0" fontId="3" fillId="0" borderId="38" xfId="0" applyFont="1" applyBorder="1" applyAlignment="1" applyProtection="1">
      <alignment horizontal="left" vertical="top"/>
    </xf>
    <xf numFmtId="0" fontId="3" fillId="0" borderId="20" xfId="0" applyFont="1" applyFill="1" applyBorder="1" applyAlignment="1" applyProtection="1">
      <alignment horizontal="left" vertical="top" wrapText="1"/>
    </xf>
    <xf numFmtId="0" fontId="3" fillId="0" borderId="21" xfId="0" applyFont="1" applyBorder="1" applyAlignment="1" applyProtection="1">
      <alignment horizontal="left" vertical="top" wrapText="1"/>
    </xf>
    <xf numFmtId="3" fontId="3" fillId="0" borderId="21" xfId="0" applyNumberFormat="1" applyFont="1" applyBorder="1" applyAlignment="1" applyProtection="1">
      <alignment horizontal="left" vertical="top" wrapText="1"/>
      <protection locked="0"/>
    </xf>
    <xf numFmtId="0" fontId="15" fillId="10" borderId="0" xfId="0" applyFont="1" applyFill="1" applyAlignment="1">
      <alignment horizontal="left"/>
    </xf>
    <xf numFmtId="0" fontId="3" fillId="2" borderId="66" xfId="0" applyFont="1" applyFill="1" applyBorder="1" applyAlignment="1">
      <alignment vertical="top" wrapText="1"/>
    </xf>
    <xf numFmtId="0" fontId="3" fillId="2" borderId="62" xfId="0" applyFont="1" applyFill="1" applyBorder="1" applyAlignment="1">
      <alignment vertical="top" wrapText="1"/>
    </xf>
    <xf numFmtId="0" fontId="3" fillId="2" borderId="49" xfId="0" applyFont="1" applyFill="1" applyBorder="1" applyAlignment="1">
      <alignment vertical="top" wrapText="1"/>
    </xf>
    <xf numFmtId="0" fontId="3" fillId="2" borderId="50" xfId="0" applyFont="1" applyFill="1" applyBorder="1" applyAlignment="1">
      <alignment vertical="top" wrapText="1"/>
    </xf>
    <xf numFmtId="49" fontId="18" fillId="11" borderId="36" xfId="0" applyNumberFormat="1" applyFont="1" applyFill="1" applyBorder="1" applyAlignment="1" applyProtection="1">
      <alignment horizontal="center" vertical="center" wrapText="1"/>
      <protection locked="0"/>
    </xf>
    <xf numFmtId="0" fontId="0" fillId="2" borderId="34" xfId="0" applyFill="1" applyBorder="1" applyAlignment="1">
      <alignment vertical="center"/>
    </xf>
    <xf numFmtId="0" fontId="0" fillId="2" borderId="23" xfId="0" applyFill="1" applyBorder="1"/>
    <xf numFmtId="0" fontId="3" fillId="10" borderId="0" xfId="0" applyFont="1" applyFill="1"/>
    <xf numFmtId="0" fontId="25" fillId="3" borderId="0" xfId="0" applyFont="1" applyFill="1"/>
    <xf numFmtId="0" fontId="4" fillId="3" borderId="0" xfId="0" applyFont="1" applyFill="1" applyBorder="1" applyAlignment="1">
      <alignment horizontal="center" vertical="center" wrapText="1"/>
    </xf>
    <xf numFmtId="3" fontId="4" fillId="3" borderId="0" xfId="0" applyNumberFormat="1" applyFont="1" applyFill="1" applyBorder="1" applyAlignment="1" applyProtection="1">
      <alignment horizontal="center" vertical="center" wrapText="1"/>
      <protection locked="0"/>
    </xf>
    <xf numFmtId="3" fontId="18" fillId="3" borderId="0" xfId="0" applyNumberFormat="1" applyFont="1" applyFill="1" applyBorder="1" applyAlignment="1" applyProtection="1">
      <alignment horizontal="center" vertical="center"/>
      <protection locked="0"/>
    </xf>
    <xf numFmtId="0" fontId="17" fillId="3" borderId="0" xfId="0" applyNumberFormat="1" applyFont="1" applyFill="1" applyBorder="1" applyAlignment="1" applyProtection="1">
      <alignment horizontal="center" vertical="center"/>
    </xf>
    <xf numFmtId="14" fontId="0" fillId="0" borderId="17" xfId="0" applyNumberFormat="1" applyFont="1" applyBorder="1"/>
    <xf numFmtId="0" fontId="1" fillId="5" borderId="6" xfId="0" applyFont="1" applyFill="1" applyBorder="1"/>
    <xf numFmtId="0" fontId="0" fillId="5" borderId="14" xfId="0" applyFill="1" applyBorder="1"/>
    <xf numFmtId="0" fontId="0" fillId="5" borderId="12" xfId="0" applyFill="1" applyBorder="1"/>
    <xf numFmtId="0" fontId="0" fillId="5" borderId="6" xfId="0" applyFill="1" applyBorder="1"/>
    <xf numFmtId="0" fontId="0" fillId="5" borderId="58" xfId="0" applyFill="1" applyBorder="1"/>
    <xf numFmtId="0" fontId="0" fillId="5" borderId="1" xfId="0" applyFill="1" applyBorder="1"/>
    <xf numFmtId="0" fontId="0" fillId="0" borderId="0" xfId="0" applyAlignment="1">
      <alignment horizontal="left"/>
    </xf>
    <xf numFmtId="49" fontId="0" fillId="12" borderId="1" xfId="0" applyNumberFormat="1" applyFill="1" applyBorder="1" applyAlignment="1">
      <alignment horizontal="left"/>
    </xf>
    <xf numFmtId="49" fontId="0" fillId="12" borderId="1" xfId="0" applyNumberFormat="1" applyFill="1" applyBorder="1" applyAlignment="1"/>
    <xf numFmtId="0" fontId="21" fillId="2" borderId="57" xfId="0" applyFont="1" applyFill="1" applyBorder="1" applyAlignment="1" applyProtection="1">
      <alignment horizontal="center" vertical="center" wrapText="1"/>
      <protection locked="0"/>
    </xf>
    <xf numFmtId="1" fontId="9" fillId="8" borderId="69" xfId="0" applyNumberFormat="1" applyFont="1" applyFill="1" applyBorder="1" applyAlignment="1" applyProtection="1">
      <alignment horizontal="center" vertical="center"/>
    </xf>
    <xf numFmtId="1" fontId="9" fillId="6" borderId="65" xfId="0" applyNumberFormat="1" applyFont="1" applyFill="1" applyBorder="1" applyAlignment="1" applyProtection="1">
      <alignment horizontal="center" vertical="center"/>
    </xf>
    <xf numFmtId="0" fontId="3" fillId="0" borderId="27" xfId="0" applyFont="1" applyBorder="1" applyAlignment="1">
      <alignment horizontal="left" vertical="top"/>
    </xf>
    <xf numFmtId="0" fontId="3" fillId="0" borderId="13" xfId="0" applyNumberFormat="1" applyFont="1" applyBorder="1" applyAlignment="1">
      <alignment horizontal="left" vertical="top" wrapText="1"/>
    </xf>
    <xf numFmtId="0" fontId="3" fillId="3" borderId="3"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34" xfId="0" applyFont="1" applyFill="1" applyBorder="1" applyAlignment="1" applyProtection="1">
      <alignment horizontal="left" vertical="top" wrapText="1"/>
    </xf>
    <xf numFmtId="3" fontId="3" fillId="3" borderId="39" xfId="0" applyNumberFormat="1" applyFont="1" applyFill="1" applyBorder="1" applyAlignment="1" applyProtection="1">
      <alignment horizontal="center" vertical="center"/>
      <protection locked="0"/>
    </xf>
    <xf numFmtId="3" fontId="3" fillId="3" borderId="29" xfId="0" applyNumberFormat="1" applyFont="1" applyFill="1" applyBorder="1" applyAlignment="1" applyProtection="1">
      <alignment horizontal="center" vertical="center"/>
      <protection locked="0"/>
    </xf>
    <xf numFmtId="3" fontId="3" fillId="3" borderId="30" xfId="0" applyNumberFormat="1" applyFont="1" applyFill="1" applyBorder="1" applyAlignment="1" applyProtection="1">
      <alignment horizontal="center" vertical="center"/>
      <protection locked="0"/>
    </xf>
    <xf numFmtId="0" fontId="28" fillId="7" borderId="19" xfId="0" applyFont="1" applyFill="1" applyBorder="1" applyAlignment="1" applyProtection="1">
      <alignment horizontal="left" vertical="top" wrapText="1"/>
    </xf>
    <xf numFmtId="0" fontId="29" fillId="0" borderId="1" xfId="0" applyFont="1" applyFill="1" applyBorder="1" applyAlignment="1">
      <alignment vertical="top"/>
    </xf>
    <xf numFmtId="0" fontId="4" fillId="3" borderId="66" xfId="0" applyFont="1" applyFill="1" applyBorder="1" applyAlignment="1">
      <alignment horizontal="left" vertical="center" wrapText="1"/>
    </xf>
    <xf numFmtId="0" fontId="21" fillId="4" borderId="30" xfId="0" applyFont="1" applyFill="1" applyBorder="1" applyAlignment="1">
      <alignment horizontal="center" vertical="center" wrapText="1"/>
    </xf>
    <xf numFmtId="0" fontId="21" fillId="4" borderId="26" xfId="0" applyFont="1" applyFill="1" applyBorder="1" applyAlignment="1">
      <alignment horizontal="center" vertical="center" wrapText="1"/>
    </xf>
    <xf numFmtId="3" fontId="21" fillId="4" borderId="56" xfId="0" applyNumberFormat="1" applyFont="1" applyFill="1" applyBorder="1" applyAlignment="1" applyProtection="1">
      <alignment horizontal="center" vertical="center" wrapText="1"/>
      <protection locked="0"/>
    </xf>
    <xf numFmtId="3" fontId="21" fillId="4" borderId="34" xfId="0" applyNumberFormat="1" applyFont="1" applyFill="1" applyBorder="1" applyAlignment="1" applyProtection="1">
      <alignment horizontal="center" vertical="center" wrapText="1"/>
      <protection locked="0"/>
    </xf>
    <xf numFmtId="0" fontId="21" fillId="4" borderId="55" xfId="0" applyFont="1" applyFill="1" applyBorder="1" applyAlignment="1">
      <alignment horizontal="center" vertical="center" wrapText="1"/>
    </xf>
    <xf numFmtId="0" fontId="21" fillId="4" borderId="28" xfId="0" applyFont="1" applyFill="1" applyBorder="1" applyAlignment="1">
      <alignment horizontal="center" vertical="center" wrapText="1"/>
    </xf>
    <xf numFmtId="0" fontId="21" fillId="4" borderId="24" xfId="0" applyFont="1" applyFill="1" applyBorder="1" applyAlignment="1">
      <alignment horizontal="center" vertical="center" wrapText="1"/>
    </xf>
    <xf numFmtId="3" fontId="21" fillId="4" borderId="66" xfId="0" applyNumberFormat="1" applyFont="1" applyFill="1" applyBorder="1" applyAlignment="1" applyProtection="1">
      <alignment horizontal="center" vertical="center" wrapText="1"/>
      <protection locked="0"/>
    </xf>
    <xf numFmtId="3" fontId="21" fillId="4" borderId="19" xfId="0" applyNumberFormat="1" applyFont="1" applyFill="1" applyBorder="1" applyAlignment="1" applyProtection="1">
      <alignment horizontal="center" vertical="center" wrapText="1"/>
      <protection locked="0"/>
    </xf>
    <xf numFmtId="0" fontId="29" fillId="0" borderId="1" xfId="0" applyFont="1" applyFill="1" applyBorder="1" applyAlignment="1" applyProtection="1">
      <alignment vertical="top"/>
    </xf>
    <xf numFmtId="0" fontId="4" fillId="4" borderId="23" xfId="0" applyNumberFormat="1" applyFont="1" applyFill="1" applyBorder="1" applyAlignment="1" applyProtection="1">
      <alignment horizontal="left" vertical="center" wrapText="1"/>
    </xf>
    <xf numFmtId="0" fontId="4" fillId="4" borderId="23" xfId="0" applyFont="1" applyFill="1" applyBorder="1" applyAlignment="1" applyProtection="1">
      <alignment horizontal="center" vertical="center" wrapText="1"/>
    </xf>
    <xf numFmtId="0" fontId="4" fillId="4" borderId="41" xfId="0" applyFont="1" applyFill="1" applyBorder="1" applyAlignment="1" applyProtection="1">
      <alignment horizontal="center" vertical="center" wrapText="1"/>
    </xf>
    <xf numFmtId="0" fontId="4" fillId="4" borderId="6" xfId="0" applyFont="1" applyFill="1" applyBorder="1" applyAlignment="1" applyProtection="1">
      <alignment horizontal="center" vertical="center" wrapText="1"/>
    </xf>
    <xf numFmtId="0" fontId="4" fillId="4" borderId="17" xfId="0" applyFont="1" applyFill="1" applyBorder="1" applyAlignment="1" applyProtection="1">
      <alignment horizontal="center" vertical="center" wrapText="1"/>
    </xf>
    <xf numFmtId="3" fontId="21" fillId="4" borderId="19" xfId="0" applyNumberFormat="1" applyFont="1" applyFill="1" applyBorder="1" applyAlignment="1" applyProtection="1">
      <alignment horizontal="center" vertical="center" wrapText="1"/>
    </xf>
    <xf numFmtId="0" fontId="23" fillId="14" borderId="63" xfId="0" applyFont="1" applyFill="1" applyBorder="1" applyAlignment="1" applyProtection="1">
      <alignment horizontal="left" vertical="top" wrapText="1"/>
    </xf>
    <xf numFmtId="0" fontId="23" fillId="16" borderId="64" xfId="0" applyFont="1" applyFill="1" applyBorder="1" applyAlignment="1" applyProtection="1">
      <alignment horizontal="left" vertical="top" wrapText="1"/>
    </xf>
    <xf numFmtId="0" fontId="4" fillId="4" borderId="69" xfId="0" applyFont="1" applyFill="1" applyBorder="1" applyAlignment="1" applyProtection="1">
      <alignment horizontal="left" vertical="top"/>
    </xf>
    <xf numFmtId="0" fontId="4" fillId="4" borderId="65" xfId="0" applyFont="1" applyFill="1" applyBorder="1" applyAlignment="1" applyProtection="1">
      <alignment horizontal="left" vertical="top"/>
    </xf>
    <xf numFmtId="0" fontId="4" fillId="4" borderId="62" xfId="0" applyFont="1" applyFill="1" applyBorder="1" applyAlignment="1" applyProtection="1">
      <alignment horizontal="left" vertical="top"/>
    </xf>
    <xf numFmtId="0" fontId="1" fillId="13" borderId="37" xfId="0" applyFont="1" applyFill="1" applyBorder="1"/>
    <xf numFmtId="3" fontId="3" fillId="0" borderId="2" xfId="0" applyNumberFormat="1" applyFont="1" applyBorder="1" applyAlignment="1" applyProtection="1">
      <alignment horizontal="left" vertical="top" wrapText="1"/>
      <protection locked="0"/>
    </xf>
    <xf numFmtId="3" fontId="3" fillId="0" borderId="52" xfId="0" applyNumberFormat="1" applyFont="1" applyBorder="1" applyAlignment="1" applyProtection="1">
      <alignment horizontal="left" vertical="top" wrapText="1"/>
      <protection locked="0"/>
    </xf>
    <xf numFmtId="3" fontId="3" fillId="0" borderId="10" xfId="0" applyNumberFormat="1" applyFont="1" applyBorder="1" applyAlignment="1" applyProtection="1">
      <alignment horizontal="left" vertical="top" wrapText="1"/>
      <protection locked="0"/>
    </xf>
    <xf numFmtId="3" fontId="3" fillId="0" borderId="53" xfId="0" applyNumberFormat="1" applyFont="1" applyBorder="1" applyAlignment="1" applyProtection="1">
      <alignment horizontal="left" vertical="top" wrapText="1"/>
      <protection locked="0"/>
    </xf>
    <xf numFmtId="3" fontId="1" fillId="5" borderId="67" xfId="0" applyNumberFormat="1" applyFont="1" applyFill="1" applyBorder="1"/>
    <xf numFmtId="0" fontId="4" fillId="2" borderId="33" xfId="0" applyFont="1" applyFill="1" applyBorder="1" applyAlignment="1" applyProtection="1">
      <alignment horizontal="left" vertical="top" wrapText="1"/>
    </xf>
    <xf numFmtId="0" fontId="21" fillId="2" borderId="30" xfId="0" applyFont="1" applyFill="1" applyBorder="1" applyAlignment="1">
      <alignment horizontal="center" vertical="center" wrapText="1"/>
    </xf>
    <xf numFmtId="14" fontId="11" fillId="3" borderId="19" xfId="0" applyNumberFormat="1" applyFont="1" applyFill="1" applyBorder="1" applyAlignment="1" applyProtection="1">
      <alignment horizontal="left" vertical="center" wrapText="1"/>
      <protection locked="0"/>
    </xf>
    <xf numFmtId="49" fontId="26" fillId="0" borderId="66" xfId="2" applyNumberFormat="1" applyFont="1" applyBorder="1" applyAlignment="1" applyProtection="1">
      <alignment vertical="top" wrapText="1"/>
      <protection locked="0"/>
    </xf>
    <xf numFmtId="49" fontId="27" fillId="0" borderId="49" xfId="0" applyNumberFormat="1" applyFont="1" applyBorder="1" applyAlignment="1" applyProtection="1">
      <alignment vertical="top" wrapText="1"/>
      <protection locked="0"/>
    </xf>
    <xf numFmtId="49" fontId="27" fillId="0" borderId="36" xfId="0" applyNumberFormat="1" applyFont="1" applyBorder="1" applyAlignment="1" applyProtection="1">
      <alignment vertical="top" wrapText="1"/>
      <protection locked="0"/>
    </xf>
    <xf numFmtId="49" fontId="26" fillId="0" borderId="15" xfId="2" applyNumberFormat="1" applyFont="1" applyBorder="1" applyAlignment="1" applyProtection="1">
      <alignment horizontal="left" vertical="top" wrapText="1"/>
      <protection locked="0"/>
    </xf>
    <xf numFmtId="0" fontId="0" fillId="0" borderId="0" xfId="0" applyAlignment="1">
      <alignment vertical="center"/>
    </xf>
    <xf numFmtId="49" fontId="26" fillId="0" borderId="65" xfId="2" applyNumberFormat="1" applyFont="1" applyBorder="1" applyAlignment="1" applyProtection="1">
      <alignment horizontal="left" vertical="top"/>
      <protection locked="0"/>
    </xf>
    <xf numFmtId="49" fontId="26" fillId="0" borderId="3" xfId="2" applyNumberFormat="1" applyFont="1" applyBorder="1" applyAlignment="1" applyProtection="1">
      <alignment horizontal="left" vertical="top"/>
      <protection locked="0"/>
    </xf>
    <xf numFmtId="49" fontId="11" fillId="0" borderId="40" xfId="0" applyNumberFormat="1" applyFont="1" applyBorder="1" applyProtection="1"/>
    <xf numFmtId="1" fontId="9" fillId="9" borderId="38" xfId="0" applyNumberFormat="1" applyFont="1" applyFill="1" applyBorder="1" applyAlignment="1" applyProtection="1">
      <alignment horizontal="center" vertical="center"/>
    </xf>
    <xf numFmtId="0" fontId="28" fillId="7" borderId="30" xfId="0" applyFont="1" applyFill="1" applyBorder="1" applyAlignment="1" applyProtection="1">
      <alignment horizontal="left" vertical="top" wrapText="1"/>
    </xf>
    <xf numFmtId="0" fontId="28" fillId="7" borderId="29" xfId="0" applyFont="1" applyFill="1" applyBorder="1" applyAlignment="1" applyProtection="1">
      <alignment horizontal="left" vertical="top" wrapText="1"/>
    </xf>
    <xf numFmtId="0" fontId="28" fillId="7" borderId="39" xfId="0" applyFont="1" applyFill="1" applyBorder="1" applyAlignment="1" applyProtection="1">
      <alignment horizontal="left" vertical="top" wrapText="1"/>
    </xf>
    <xf numFmtId="0" fontId="14" fillId="8" borderId="0" xfId="0" applyFont="1" applyFill="1" applyAlignment="1" applyProtection="1">
      <alignment horizontal="left" vertical="top"/>
    </xf>
    <xf numFmtId="0" fontId="12" fillId="2" borderId="63"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2" fillId="2" borderId="63"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2" xfId="0" applyFont="1" applyFill="1" applyBorder="1" applyAlignment="1" applyProtection="1">
      <alignment horizontal="left" vertical="center" wrapText="1"/>
    </xf>
    <xf numFmtId="0" fontId="0" fillId="2" borderId="64" xfId="0" applyFill="1" applyBorder="1" applyAlignment="1" applyProtection="1">
      <alignment horizontal="center"/>
    </xf>
    <xf numFmtId="0" fontId="0" fillId="2" borderId="37" xfId="0" applyFill="1" applyBorder="1" applyAlignment="1" applyProtection="1">
      <alignment horizontal="center"/>
    </xf>
    <xf numFmtId="0" fontId="12" fillId="2" borderId="64" xfId="0" applyFont="1" applyFill="1" applyBorder="1" applyAlignment="1" applyProtection="1">
      <alignment horizontal="center" vertical="center" wrapText="1"/>
    </xf>
    <xf numFmtId="0" fontId="12" fillId="2" borderId="47" xfId="0" applyFont="1" applyFill="1" applyBorder="1" applyAlignment="1" applyProtection="1">
      <alignment horizontal="center" vertical="center" wrapText="1"/>
    </xf>
    <xf numFmtId="49" fontId="24" fillId="0" borderId="64" xfId="0" applyNumberFormat="1" applyFont="1" applyBorder="1" applyAlignment="1" applyProtection="1">
      <alignment horizontal="left" vertical="top" wrapText="1"/>
      <protection locked="0"/>
    </xf>
    <xf numFmtId="49" fontId="24" fillId="0" borderId="54" xfId="0" applyNumberFormat="1" applyFont="1" applyBorder="1" applyAlignment="1" applyProtection="1">
      <alignment horizontal="left" vertical="top" wrapText="1"/>
      <protection locked="0"/>
    </xf>
    <xf numFmtId="49" fontId="24" fillId="0" borderId="25" xfId="0" applyNumberFormat="1" applyFont="1" applyBorder="1" applyAlignment="1" applyProtection="1">
      <alignment horizontal="left" vertical="top" wrapText="1"/>
      <protection locked="0"/>
    </xf>
    <xf numFmtId="49" fontId="24" fillId="0" borderId="26" xfId="0" applyNumberFormat="1" applyFont="1" applyBorder="1" applyAlignment="1" applyProtection="1">
      <alignment horizontal="left" vertical="top" wrapText="1"/>
      <protection locked="0"/>
    </xf>
    <xf numFmtId="49" fontId="26" fillId="0" borderId="65" xfId="2" quotePrefix="1" applyNumberFormat="1" applyFont="1" applyBorder="1" applyAlignment="1" applyProtection="1">
      <alignment horizontal="left" vertical="top"/>
      <protection locked="0"/>
    </xf>
    <xf numFmtId="49" fontId="26" fillId="0" borderId="3" xfId="2" applyNumberFormat="1" applyFont="1" applyBorder="1" applyAlignment="1" applyProtection="1">
      <alignment horizontal="left" vertical="top"/>
      <protection locked="0"/>
    </xf>
    <xf numFmtId="49" fontId="26" fillId="0" borderId="15" xfId="2" applyNumberFormat="1" applyFont="1" applyBorder="1" applyAlignment="1" applyProtection="1">
      <alignment horizontal="left" vertical="top"/>
      <protection locked="0"/>
    </xf>
    <xf numFmtId="49" fontId="26" fillId="0" borderId="65" xfId="2" applyNumberFormat="1" applyFont="1" applyBorder="1" applyAlignment="1" applyProtection="1">
      <alignment horizontal="left" vertical="top"/>
      <protection locked="0"/>
    </xf>
    <xf numFmtId="49" fontId="26" fillId="0" borderId="64" xfId="2" applyNumberFormat="1" applyFont="1" applyBorder="1" applyAlignment="1" applyProtection="1">
      <alignment horizontal="left" vertical="top"/>
      <protection locked="0"/>
    </xf>
    <xf numFmtId="49" fontId="26" fillId="0" borderId="47" xfId="2" applyNumberFormat="1" applyFont="1" applyBorder="1" applyAlignment="1" applyProtection="1">
      <alignment horizontal="left" vertical="top"/>
      <protection locked="0"/>
    </xf>
    <xf numFmtId="49" fontId="26" fillId="0" borderId="54" xfId="2" applyNumberFormat="1" applyFont="1" applyBorder="1" applyAlignment="1" applyProtection="1">
      <alignment horizontal="left" vertical="top"/>
      <protection locked="0"/>
    </xf>
    <xf numFmtId="0" fontId="4" fillId="0" borderId="49" xfId="0" applyFont="1" applyFill="1" applyBorder="1" applyAlignment="1" applyProtection="1">
      <alignment horizontal="left" vertical="top"/>
    </xf>
    <xf numFmtId="0" fontId="7" fillId="0" borderId="12" xfId="0" applyFont="1" applyFill="1" applyBorder="1" applyAlignment="1" applyProtection="1">
      <alignment horizontal="left" vertical="top"/>
    </xf>
    <xf numFmtId="0" fontId="7" fillId="0" borderId="1" xfId="0" applyFont="1" applyFill="1" applyBorder="1" applyAlignment="1" applyProtection="1">
      <alignment horizontal="left" vertical="top"/>
    </xf>
    <xf numFmtId="0" fontId="7" fillId="0" borderId="44" xfId="0" applyFont="1" applyFill="1" applyBorder="1" applyAlignment="1" applyProtection="1">
      <alignment horizontal="left" vertical="top"/>
    </xf>
    <xf numFmtId="0" fontId="7" fillId="0" borderId="20" xfId="0" applyFont="1" applyFill="1" applyBorder="1" applyAlignment="1" applyProtection="1">
      <alignment horizontal="left" vertical="top"/>
    </xf>
    <xf numFmtId="0" fontId="8" fillId="6" borderId="66" xfId="0" applyFont="1" applyFill="1" applyBorder="1" applyAlignment="1" applyProtection="1">
      <alignment horizontal="left"/>
    </xf>
    <xf numFmtId="0" fontId="8" fillId="6" borderId="49" xfId="0" applyFont="1" applyFill="1" applyBorder="1" applyAlignment="1" applyProtection="1">
      <alignment horizontal="left"/>
    </xf>
    <xf numFmtId="0" fontId="8" fillId="6" borderId="36" xfId="0" applyFont="1" applyFill="1" applyBorder="1" applyAlignment="1" applyProtection="1">
      <alignment horizontal="left"/>
    </xf>
    <xf numFmtId="49" fontId="3" fillId="0" borderId="12" xfId="0" applyNumberFormat="1" applyFont="1" applyBorder="1" applyAlignment="1" applyProtection="1">
      <alignment horizontal="left" vertical="top" wrapText="1"/>
      <protection locked="0"/>
    </xf>
    <xf numFmtId="49" fontId="3" fillId="0" borderId="9" xfId="0" applyNumberFormat="1" applyFont="1" applyBorder="1" applyAlignment="1" applyProtection="1">
      <alignment horizontal="left" vertical="top" wrapText="1"/>
      <protection locked="0"/>
    </xf>
    <xf numFmtId="0" fontId="3" fillId="0" borderId="0" xfId="0" applyFont="1" applyBorder="1" applyAlignment="1" applyProtection="1">
      <alignment horizontal="left" vertical="top"/>
    </xf>
    <xf numFmtId="0" fontId="3" fillId="0" borderId="18" xfId="0" applyFont="1" applyBorder="1" applyAlignment="1" applyProtection="1">
      <alignment horizontal="left" vertical="top"/>
    </xf>
    <xf numFmtId="0" fontId="4" fillId="2" borderId="25" xfId="0" applyFont="1" applyFill="1" applyBorder="1" applyAlignment="1" applyProtection="1">
      <alignment horizontal="left" vertical="top" wrapText="1"/>
    </xf>
    <xf numFmtId="0" fontId="4" fillId="2" borderId="27" xfId="0" applyFont="1" applyFill="1" applyBorder="1" applyAlignment="1" applyProtection="1">
      <alignment horizontal="left" vertical="top" wrapText="1"/>
    </xf>
    <xf numFmtId="0" fontId="4" fillId="2" borderId="32" xfId="0" applyFont="1" applyFill="1" applyBorder="1" applyAlignment="1" applyProtection="1">
      <alignment horizontal="left" vertical="top" wrapText="1"/>
    </xf>
    <xf numFmtId="0" fontId="4" fillId="2" borderId="33" xfId="0" applyFont="1" applyFill="1" applyBorder="1" applyAlignment="1" applyProtection="1">
      <alignment horizontal="left" vertical="top" wrapText="1"/>
    </xf>
    <xf numFmtId="0" fontId="4" fillId="2" borderId="26" xfId="0" applyFont="1" applyFill="1" applyBorder="1" applyAlignment="1" applyProtection="1">
      <alignment horizontal="left" vertical="top" wrapText="1"/>
    </xf>
    <xf numFmtId="49" fontId="3" fillId="0" borderId="44" xfId="0" applyNumberFormat="1" applyFont="1" applyBorder="1" applyAlignment="1" applyProtection="1">
      <alignment horizontal="left" vertical="top" wrapText="1"/>
      <protection locked="0"/>
    </xf>
    <xf numFmtId="49" fontId="3" fillId="0" borderId="21" xfId="0" applyNumberFormat="1" applyFont="1" applyBorder="1" applyAlignment="1" applyProtection="1">
      <alignment horizontal="left" vertical="top" wrapText="1"/>
      <protection locked="0"/>
    </xf>
    <xf numFmtId="0" fontId="3" fillId="0" borderId="31" xfId="0" applyFont="1" applyBorder="1" applyAlignment="1" applyProtection="1">
      <alignment horizontal="left" vertical="top" wrapText="1"/>
    </xf>
    <xf numFmtId="0" fontId="3" fillId="0" borderId="22" xfId="0" applyFont="1" applyBorder="1" applyAlignment="1" applyProtection="1">
      <alignment horizontal="left" vertical="top" wrapText="1"/>
    </xf>
    <xf numFmtId="0" fontId="3" fillId="0" borderId="7" xfId="0" applyFont="1" applyBorder="1" applyAlignment="1" applyProtection="1">
      <alignment horizontal="left" vertical="top" wrapText="1"/>
    </xf>
    <xf numFmtId="0" fontId="3" fillId="0" borderId="1" xfId="0" applyFont="1" applyBorder="1" applyAlignment="1" applyProtection="1">
      <alignment horizontal="left" vertical="top" wrapText="1"/>
    </xf>
    <xf numFmtId="0" fontId="3" fillId="0" borderId="37" xfId="0" applyFont="1" applyBorder="1" applyAlignment="1" applyProtection="1">
      <alignment horizontal="left" vertical="top" wrapText="1"/>
    </xf>
    <xf numFmtId="0" fontId="3" fillId="0" borderId="20" xfId="0" applyFont="1" applyBorder="1" applyAlignment="1" applyProtection="1">
      <alignment horizontal="left" vertical="top" wrapText="1"/>
    </xf>
    <xf numFmtId="49" fontId="3" fillId="0" borderId="45" xfId="0" applyNumberFormat="1" applyFont="1" applyBorder="1" applyAlignment="1" applyProtection="1">
      <alignment horizontal="left" vertical="top" wrapText="1"/>
      <protection locked="0"/>
    </xf>
    <xf numFmtId="49" fontId="3" fillId="0" borderId="24" xfId="0" applyNumberFormat="1" applyFont="1" applyBorder="1" applyAlignment="1" applyProtection="1">
      <alignment horizontal="left" vertical="top" wrapText="1"/>
      <protection locked="0"/>
    </xf>
    <xf numFmtId="0" fontId="8" fillId="10" borderId="2" xfId="0" applyFont="1" applyFill="1" applyBorder="1" applyAlignment="1">
      <alignment horizontal="left" vertical="top"/>
    </xf>
    <xf numFmtId="0" fontId="8" fillId="10" borderId="3" xfId="0" applyFont="1" applyFill="1" applyBorder="1" applyAlignment="1">
      <alignment horizontal="left" vertical="top"/>
    </xf>
    <xf numFmtId="0" fontId="8" fillId="10" borderId="7" xfId="0" applyFont="1" applyFill="1" applyBorder="1" applyAlignment="1">
      <alignment horizontal="left" vertical="top"/>
    </xf>
    <xf numFmtId="0" fontId="3" fillId="0" borderId="45"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27" xfId="0" applyFont="1" applyBorder="1" applyAlignment="1">
      <alignment horizontal="center"/>
    </xf>
    <xf numFmtId="0" fontId="3" fillId="0" borderId="27" xfId="0" applyFont="1" applyBorder="1" applyAlignment="1">
      <alignment horizontal="left" vertical="top"/>
    </xf>
    <xf numFmtId="0" fontId="3" fillId="0" borderId="27" xfId="0" applyFont="1" applyFill="1" applyBorder="1" applyAlignment="1">
      <alignment horizontal="left" vertical="top"/>
    </xf>
    <xf numFmtId="0" fontId="3" fillId="0" borderId="22" xfId="0" applyNumberFormat="1" applyFont="1" applyBorder="1" applyAlignment="1">
      <alignment horizontal="left" vertical="top" wrapText="1"/>
    </xf>
    <xf numFmtId="0" fontId="3" fillId="0" borderId="20" xfId="0" applyNumberFormat="1" applyFont="1" applyBorder="1" applyAlignment="1">
      <alignment horizontal="left" vertical="top" wrapText="1"/>
    </xf>
    <xf numFmtId="0" fontId="3" fillId="0" borderId="45" xfId="0" applyNumberFormat="1" applyFont="1" applyBorder="1" applyAlignment="1">
      <alignment horizontal="left" vertical="top" wrapText="1"/>
    </xf>
    <xf numFmtId="0" fontId="3" fillId="0" borderId="44" xfId="0" applyNumberFormat="1" applyFont="1" applyBorder="1" applyAlignment="1">
      <alignment horizontal="left" vertical="top" wrapText="1"/>
    </xf>
    <xf numFmtId="0" fontId="3" fillId="0" borderId="46" xfId="0" applyFont="1" applyBorder="1" applyAlignment="1">
      <alignment horizontal="left" vertical="top" wrapText="1"/>
    </xf>
    <xf numFmtId="0" fontId="3" fillId="0" borderId="47" xfId="0" applyFont="1" applyBorder="1" applyAlignment="1">
      <alignment horizontal="left" vertical="top" wrapText="1"/>
    </xf>
    <xf numFmtId="0" fontId="3" fillId="0" borderId="28" xfId="0" applyNumberFormat="1" applyFont="1" applyFill="1" applyBorder="1" applyAlignment="1">
      <alignment horizontal="left" vertical="top" wrapText="1"/>
    </xf>
    <xf numFmtId="0" fontId="3" fillId="0" borderId="5" xfId="0" applyNumberFormat="1" applyFont="1" applyFill="1" applyBorder="1" applyAlignment="1">
      <alignment horizontal="left" vertical="top" wrapText="1"/>
    </xf>
    <xf numFmtId="0" fontId="3" fillId="0" borderId="41" xfId="0" applyNumberFormat="1" applyFont="1" applyFill="1" applyBorder="1" applyAlignment="1">
      <alignment horizontal="left" vertical="top" wrapText="1"/>
    </xf>
    <xf numFmtId="0" fontId="4" fillId="0" borderId="0" xfId="0" applyFont="1" applyFill="1" applyBorder="1" applyAlignment="1">
      <alignment horizontal="left" vertical="top" wrapText="1"/>
    </xf>
    <xf numFmtId="0" fontId="4" fillId="2" borderId="33" xfId="0" applyFont="1" applyFill="1" applyBorder="1" applyAlignment="1">
      <alignment horizontal="left" vertical="top" wrapText="1"/>
    </xf>
    <xf numFmtId="0" fontId="4" fillId="2" borderId="26" xfId="0" applyFont="1" applyFill="1" applyBorder="1" applyAlignment="1">
      <alignment horizontal="left" vertical="top" wrapText="1"/>
    </xf>
    <xf numFmtId="0" fontId="3" fillId="0" borderId="36" xfId="0" applyFont="1" applyBorder="1" applyAlignment="1">
      <alignment horizontal="left" vertical="top" wrapText="1"/>
    </xf>
    <xf numFmtId="0" fontId="3" fillId="0" borderId="16" xfId="0" applyFont="1" applyBorder="1" applyAlignment="1">
      <alignment horizontal="left" vertical="top" wrapText="1"/>
    </xf>
    <xf numFmtId="0" fontId="3" fillId="0" borderId="40" xfId="0" applyFont="1" applyBorder="1" applyAlignment="1">
      <alignment horizontal="left" vertical="top" wrapText="1"/>
    </xf>
    <xf numFmtId="0" fontId="3" fillId="0" borderId="49" xfId="0" applyFont="1" applyBorder="1" applyAlignment="1">
      <alignment horizontal="left" vertical="top" wrapText="1"/>
    </xf>
    <xf numFmtId="0" fontId="3" fillId="0" borderId="50" xfId="0" applyFont="1" applyBorder="1" applyAlignment="1">
      <alignment horizontal="left" vertical="top" wrapText="1"/>
    </xf>
    <xf numFmtId="0" fontId="3" fillId="0" borderId="56" xfId="0" applyNumberFormat="1" applyFont="1" applyBorder="1" applyAlignment="1">
      <alignment horizontal="left" vertical="top" wrapText="1"/>
    </xf>
    <xf numFmtId="0" fontId="3" fillId="0" borderId="51" xfId="0" applyNumberFormat="1" applyFont="1" applyBorder="1" applyAlignment="1">
      <alignment horizontal="left" vertical="top" wrapText="1"/>
    </xf>
    <xf numFmtId="0" fontId="3" fillId="2" borderId="25" xfId="0" applyFont="1" applyFill="1" applyBorder="1" applyAlignment="1">
      <alignment horizontal="center" vertical="top" wrapText="1"/>
    </xf>
    <xf numFmtId="0" fontId="3" fillId="2" borderId="26" xfId="0" applyFont="1" applyFill="1" applyBorder="1" applyAlignment="1">
      <alignment horizontal="center" vertical="top" wrapText="1"/>
    </xf>
    <xf numFmtId="0" fontId="4" fillId="2"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3" fontId="3" fillId="2" borderId="66" xfId="0" applyNumberFormat="1" applyFont="1" applyFill="1" applyBorder="1" applyAlignment="1" applyProtection="1">
      <alignment horizontal="center" vertical="center" wrapText="1"/>
    </xf>
    <xf numFmtId="3" fontId="3" fillId="2" borderId="36" xfId="0" applyNumberFormat="1" applyFont="1" applyFill="1" applyBorder="1" applyAlignment="1" applyProtection="1">
      <alignment horizontal="center" vertical="center" wrapText="1"/>
    </xf>
    <xf numFmtId="3" fontId="3" fillId="2" borderId="48" xfId="0" applyNumberFormat="1" applyFont="1" applyFill="1" applyBorder="1" applyAlignment="1" applyProtection="1">
      <alignment horizontal="center" vertical="center" wrapText="1"/>
    </xf>
    <xf numFmtId="3" fontId="3" fillId="2" borderId="16" xfId="0" applyNumberFormat="1" applyFont="1" applyFill="1" applyBorder="1" applyAlignment="1" applyProtection="1">
      <alignment horizontal="center" vertical="center" wrapText="1"/>
    </xf>
    <xf numFmtId="3" fontId="3" fillId="2" borderId="62" xfId="0" applyNumberFormat="1" applyFont="1" applyFill="1" applyBorder="1" applyAlignment="1" applyProtection="1">
      <alignment horizontal="center" vertical="center" wrapText="1"/>
    </xf>
    <xf numFmtId="3" fontId="3" fillId="2" borderId="40" xfId="0" applyNumberFormat="1" applyFont="1" applyFill="1" applyBorder="1" applyAlignment="1" applyProtection="1">
      <alignment horizontal="center" vertical="center" wrapText="1"/>
    </xf>
    <xf numFmtId="0" fontId="3" fillId="0" borderId="28" xfId="0" applyNumberFormat="1" applyFont="1" applyBorder="1" applyAlignment="1">
      <alignment horizontal="left" vertical="top" wrapText="1"/>
    </xf>
    <xf numFmtId="0" fontId="3" fillId="0" borderId="41" xfId="0" applyNumberFormat="1" applyFont="1" applyBorder="1" applyAlignment="1">
      <alignment horizontal="left" vertical="top" wrapText="1"/>
    </xf>
    <xf numFmtId="0" fontId="7" fillId="0" borderId="1" xfId="0" applyFont="1" applyBorder="1" applyAlignment="1">
      <alignment horizontal="left" vertical="top"/>
    </xf>
    <xf numFmtId="0" fontId="3" fillId="0" borderId="12" xfId="0" applyFont="1" applyFill="1" applyBorder="1" applyAlignment="1">
      <alignment horizontal="left" vertical="top" wrapText="1"/>
    </xf>
    <xf numFmtId="0" fontId="3" fillId="0" borderId="13" xfId="0" applyNumberFormat="1" applyFont="1" applyBorder="1" applyAlignment="1">
      <alignment horizontal="left" vertical="top" wrapText="1"/>
    </xf>
    <xf numFmtId="0" fontId="15" fillId="10" borderId="0" xfId="0" applyFont="1" applyFill="1" applyAlignment="1">
      <alignment horizontal="left"/>
    </xf>
    <xf numFmtId="14" fontId="10" fillId="0" borderId="1" xfId="0" applyNumberFormat="1" applyFont="1" applyBorder="1" applyAlignment="1" applyProtection="1">
      <alignment horizontal="left" vertical="center"/>
      <protection locked="0"/>
    </xf>
    <xf numFmtId="49" fontId="16" fillId="0" borderId="1" xfId="0" applyNumberFormat="1" applyFont="1" applyBorder="1" applyAlignment="1">
      <alignment horizontal="left" vertical="top"/>
    </xf>
    <xf numFmtId="0" fontId="3" fillId="2" borderId="25" xfId="0" applyFont="1" applyFill="1" applyBorder="1" applyAlignment="1">
      <alignment horizontal="center"/>
    </xf>
    <xf numFmtId="0" fontId="3" fillId="2" borderId="27" xfId="0" applyFont="1" applyFill="1" applyBorder="1" applyAlignment="1">
      <alignment horizontal="center"/>
    </xf>
    <xf numFmtId="0" fontId="3" fillId="2" borderId="26" xfId="0" applyFont="1" applyFill="1" applyBorder="1" applyAlignment="1">
      <alignment horizontal="center"/>
    </xf>
    <xf numFmtId="49" fontId="3" fillId="0" borderId="34" xfId="0" applyNumberFormat="1" applyFont="1" applyFill="1" applyBorder="1" applyAlignment="1" applyProtection="1">
      <alignment horizontal="left" vertical="top" wrapText="1"/>
      <protection locked="0"/>
    </xf>
    <xf numFmtId="49" fontId="3" fillId="0" borderId="11" xfId="0" applyNumberFormat="1" applyFont="1" applyFill="1" applyBorder="1" applyAlignment="1" applyProtection="1">
      <alignment horizontal="left" vertical="top" wrapText="1"/>
      <protection locked="0"/>
    </xf>
    <xf numFmtId="49" fontId="3" fillId="0" borderId="23" xfId="0" applyNumberFormat="1" applyFont="1" applyFill="1" applyBorder="1" applyAlignment="1" applyProtection="1">
      <alignment horizontal="left" vertical="top" wrapText="1"/>
      <protection locked="0"/>
    </xf>
    <xf numFmtId="0" fontId="4" fillId="2" borderId="25" xfId="0" applyFont="1" applyFill="1" applyBorder="1" applyAlignment="1">
      <alignment horizontal="left" vertical="center"/>
    </xf>
    <xf numFmtId="0" fontId="4" fillId="2" borderId="27" xfId="0" applyFont="1" applyFill="1" applyBorder="1" applyAlignment="1">
      <alignment horizontal="left" vertical="center"/>
    </xf>
    <xf numFmtId="0" fontId="4" fillId="2" borderId="26" xfId="0" applyFont="1" applyFill="1" applyBorder="1" applyAlignment="1">
      <alignment horizontal="left" vertical="center"/>
    </xf>
    <xf numFmtId="0" fontId="3" fillId="3" borderId="46" xfId="0" applyFont="1" applyFill="1" applyBorder="1" applyAlignment="1">
      <alignment horizontal="left" vertical="top" wrapText="1"/>
    </xf>
    <xf numFmtId="0" fontId="3" fillId="3" borderId="4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50" xfId="0" applyFont="1" applyFill="1" applyBorder="1" applyAlignment="1">
      <alignment horizontal="left" vertical="top" wrapText="1"/>
    </xf>
    <xf numFmtId="0" fontId="3" fillId="3" borderId="40" xfId="0" applyFont="1" applyFill="1" applyBorder="1" applyAlignment="1">
      <alignment horizontal="left" vertical="top" wrapText="1"/>
    </xf>
    <xf numFmtId="0" fontId="6" fillId="2" borderId="25" xfId="0" applyFont="1" applyFill="1" applyBorder="1" applyAlignment="1">
      <alignment horizontal="center" vertical="top"/>
    </xf>
    <xf numFmtId="0" fontId="6" fillId="2" borderId="27" xfId="0" applyFont="1" applyFill="1" applyBorder="1" applyAlignment="1">
      <alignment horizontal="center" vertical="top"/>
    </xf>
    <xf numFmtId="0" fontId="6" fillId="2" borderId="26" xfId="0" applyFont="1" applyFill="1" applyBorder="1" applyAlignment="1">
      <alignment horizontal="center" vertical="top"/>
    </xf>
    <xf numFmtId="49" fontId="4" fillId="0" borderId="34"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49" fontId="4" fillId="0" borderId="23" xfId="0" applyNumberFormat="1" applyFont="1" applyFill="1" applyBorder="1" applyAlignment="1" applyProtection="1">
      <alignment horizontal="left" vertical="top" wrapText="1"/>
      <protection locked="0"/>
    </xf>
    <xf numFmtId="0" fontId="3" fillId="0" borderId="53"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54" xfId="0" applyFont="1" applyFill="1" applyBorder="1" applyAlignment="1">
      <alignment horizontal="left" vertical="top" wrapText="1"/>
    </xf>
    <xf numFmtId="0" fontId="3" fillId="3" borderId="34"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0" borderId="52" xfId="0"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4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xf>
    <xf numFmtId="0" fontId="3" fillId="0" borderId="15" xfId="0" applyFont="1" applyFill="1" applyBorder="1" applyAlignment="1">
      <alignment horizontal="left" vertical="top"/>
    </xf>
    <xf numFmtId="49" fontId="4" fillId="0" borderId="34" xfId="0" applyNumberFormat="1" applyFont="1" applyFill="1" applyBorder="1" applyAlignment="1" applyProtection="1">
      <alignment horizontal="center" vertical="top" wrapText="1"/>
      <protection locked="0"/>
    </xf>
    <xf numFmtId="49" fontId="4" fillId="0" borderId="11" xfId="0" applyNumberFormat="1" applyFont="1" applyFill="1" applyBorder="1" applyAlignment="1" applyProtection="1">
      <alignment horizontal="center" vertical="top" wrapText="1"/>
      <protection locked="0"/>
    </xf>
    <xf numFmtId="49" fontId="4" fillId="0" borderId="23" xfId="0" applyNumberFormat="1" applyFont="1" applyFill="1" applyBorder="1" applyAlignment="1" applyProtection="1">
      <alignment horizontal="center" vertical="top" wrapText="1"/>
      <protection locked="0"/>
    </xf>
    <xf numFmtId="0" fontId="3" fillId="0" borderId="46"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3" borderId="23" xfId="0" applyFont="1" applyFill="1" applyBorder="1" applyAlignment="1">
      <alignment horizontal="left" vertical="top" wrapText="1"/>
    </xf>
    <xf numFmtId="0" fontId="4" fillId="2" borderId="25" xfId="0" applyFont="1" applyFill="1" applyBorder="1" applyAlignment="1">
      <alignment horizontal="left" vertical="top"/>
    </xf>
    <xf numFmtId="0" fontId="4" fillId="2" borderId="27" xfId="0" applyFont="1" applyFill="1" applyBorder="1" applyAlignment="1">
      <alignment horizontal="left" vertical="top"/>
    </xf>
    <xf numFmtId="0" fontId="4" fillId="2" borderId="26" xfId="0" applyFont="1" applyFill="1" applyBorder="1" applyAlignment="1">
      <alignment horizontal="left" vertical="top"/>
    </xf>
    <xf numFmtId="0" fontId="3" fillId="3" borderId="25"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26" xfId="0" applyFont="1" applyFill="1" applyBorder="1" applyAlignment="1">
      <alignment horizontal="left" vertical="top" wrapText="1"/>
    </xf>
    <xf numFmtId="49" fontId="3" fillId="0" borderId="34" xfId="0" applyNumberFormat="1" applyFont="1" applyFill="1" applyBorder="1" applyAlignment="1" applyProtection="1">
      <alignment horizontal="center" vertical="top" wrapText="1"/>
      <protection locked="0"/>
    </xf>
    <xf numFmtId="49" fontId="3" fillId="0" borderId="11" xfId="0" applyNumberFormat="1" applyFont="1" applyFill="1" applyBorder="1" applyAlignment="1" applyProtection="1">
      <alignment horizontal="center" vertical="top" wrapText="1"/>
      <protection locked="0"/>
    </xf>
    <xf numFmtId="49" fontId="3" fillId="0" borderId="23" xfId="0" applyNumberFormat="1" applyFont="1" applyFill="1" applyBorder="1" applyAlignment="1" applyProtection="1">
      <alignment horizontal="center" vertical="top" wrapText="1"/>
      <protection locked="0"/>
    </xf>
    <xf numFmtId="0" fontId="3" fillId="3" borderId="63" xfId="0" applyFont="1" applyFill="1" applyBorder="1" applyAlignment="1">
      <alignment horizontal="left" vertical="top" wrapText="1"/>
    </xf>
    <xf numFmtId="0" fontId="3" fillId="3" borderId="65" xfId="0" applyFont="1" applyFill="1" applyBorder="1" applyAlignment="1">
      <alignment horizontal="left" vertical="top" wrapText="1"/>
    </xf>
    <xf numFmtId="0" fontId="3" fillId="3" borderId="62" xfId="0" applyFont="1" applyFill="1" applyBorder="1" applyAlignment="1">
      <alignment horizontal="left" vertical="top" wrapText="1"/>
    </xf>
    <xf numFmtId="0" fontId="3" fillId="2" borderId="66" xfId="0" applyNumberFormat="1" applyFont="1" applyFill="1" applyBorder="1" applyAlignment="1">
      <alignment horizontal="center" vertical="center"/>
    </xf>
    <xf numFmtId="0" fontId="3" fillId="2" borderId="49" xfId="0" applyNumberFormat="1" applyFont="1" applyFill="1" applyBorder="1" applyAlignment="1">
      <alignment horizontal="center" vertical="center"/>
    </xf>
    <xf numFmtId="0" fontId="3" fillId="2" borderId="36" xfId="0" applyNumberFormat="1" applyFont="1" applyFill="1" applyBorder="1" applyAlignment="1">
      <alignment horizontal="center" vertical="center"/>
    </xf>
    <xf numFmtId="0" fontId="4" fillId="2" borderId="27" xfId="0" applyFont="1" applyFill="1" applyBorder="1" applyAlignment="1">
      <alignment horizontal="center" vertical="center" wrapText="1"/>
    </xf>
    <xf numFmtId="0" fontId="3" fillId="2" borderId="66" xfId="0" applyFont="1" applyFill="1" applyBorder="1" applyAlignment="1">
      <alignment horizontal="center"/>
    </xf>
    <xf numFmtId="0" fontId="3" fillId="2" borderId="36" xfId="0" applyFont="1" applyFill="1" applyBorder="1" applyAlignment="1">
      <alignment horizontal="center"/>
    </xf>
    <xf numFmtId="0" fontId="3" fillId="2" borderId="48" xfId="0" applyFont="1" applyFill="1" applyBorder="1" applyAlignment="1">
      <alignment horizontal="center"/>
    </xf>
    <xf numFmtId="0" fontId="3" fillId="2" borderId="16" xfId="0" applyFont="1" applyFill="1" applyBorder="1" applyAlignment="1">
      <alignment horizontal="center"/>
    </xf>
    <xf numFmtId="0" fontId="3" fillId="2" borderId="62" xfId="0" applyFont="1" applyFill="1" applyBorder="1" applyAlignment="1">
      <alignment horizontal="center"/>
    </xf>
    <xf numFmtId="0" fontId="3" fillId="2" borderId="40" xfId="0" applyFont="1" applyFill="1" applyBorder="1" applyAlignment="1">
      <alignment horizontal="center"/>
    </xf>
    <xf numFmtId="0" fontId="3" fillId="2" borderId="49" xfId="0" applyFont="1" applyFill="1" applyBorder="1" applyAlignment="1">
      <alignment horizontal="center"/>
    </xf>
    <xf numFmtId="0" fontId="3" fillId="2" borderId="0" xfId="0" applyFont="1" applyFill="1" applyBorder="1" applyAlignment="1">
      <alignment horizontal="center"/>
    </xf>
    <xf numFmtId="0" fontId="3" fillId="2" borderId="50" xfId="0" applyFont="1" applyFill="1" applyBorder="1" applyAlignment="1">
      <alignment horizontal="center"/>
    </xf>
    <xf numFmtId="49" fontId="3" fillId="3" borderId="34" xfId="0" applyNumberFormat="1" applyFont="1" applyFill="1" applyBorder="1" applyAlignment="1" applyProtection="1">
      <alignment horizontal="left" vertical="top" wrapText="1"/>
      <protection locked="0"/>
    </xf>
    <xf numFmtId="49" fontId="3" fillId="3" borderId="11" xfId="0" applyNumberFormat="1" applyFont="1" applyFill="1" applyBorder="1" applyAlignment="1" applyProtection="1">
      <alignment horizontal="left" vertical="top" wrapText="1"/>
      <protection locked="0"/>
    </xf>
    <xf numFmtId="49" fontId="3" fillId="3" borderId="23" xfId="0" applyNumberFormat="1" applyFont="1" applyFill="1" applyBorder="1" applyAlignment="1" applyProtection="1">
      <alignment horizontal="left" vertical="top" wrapText="1"/>
      <protection locked="0"/>
    </xf>
    <xf numFmtId="0" fontId="3" fillId="2" borderId="25" xfId="0" applyNumberFormat="1" applyFont="1" applyFill="1" applyBorder="1" applyAlignment="1">
      <alignment horizontal="center" vertical="center"/>
    </xf>
    <xf numFmtId="0" fontId="3" fillId="2" borderId="27" xfId="0" applyNumberFormat="1" applyFont="1" applyFill="1" applyBorder="1" applyAlignment="1">
      <alignment horizontal="center" vertical="center"/>
    </xf>
    <xf numFmtId="0" fontId="3" fillId="2" borderId="26" xfId="0" applyNumberFormat="1" applyFont="1" applyFill="1" applyBorder="1" applyAlignment="1">
      <alignment horizontal="center" vertical="center"/>
    </xf>
    <xf numFmtId="49" fontId="18" fillId="2" borderId="66" xfId="0" applyNumberFormat="1" applyFont="1" applyFill="1" applyBorder="1" applyAlignment="1" applyProtection="1">
      <alignment horizontal="center" vertical="center"/>
      <protection locked="0"/>
    </xf>
    <xf numFmtId="49" fontId="18" fillId="2" borderId="36" xfId="0" applyNumberFormat="1" applyFont="1" applyFill="1" applyBorder="1" applyAlignment="1" applyProtection="1">
      <alignment horizontal="center" vertical="center"/>
      <protection locked="0"/>
    </xf>
    <xf numFmtId="49" fontId="18" fillId="2" borderId="48" xfId="0" applyNumberFormat="1" applyFont="1" applyFill="1" applyBorder="1" applyAlignment="1" applyProtection="1">
      <alignment horizontal="center" vertical="center"/>
      <protection locked="0"/>
    </xf>
    <xf numFmtId="49" fontId="18" fillId="2" borderId="16" xfId="0" applyNumberFormat="1" applyFont="1" applyFill="1" applyBorder="1" applyAlignment="1" applyProtection="1">
      <alignment horizontal="center" vertical="center"/>
      <protection locked="0"/>
    </xf>
    <xf numFmtId="49" fontId="18" fillId="2" borderId="62" xfId="0" applyNumberFormat="1" applyFont="1" applyFill="1" applyBorder="1" applyAlignment="1" applyProtection="1">
      <alignment horizontal="center" vertical="center"/>
      <protection locked="0"/>
    </xf>
    <xf numFmtId="49" fontId="18" fillId="2" borderId="40" xfId="0" applyNumberFormat="1" applyFont="1" applyFill="1" applyBorder="1" applyAlignment="1" applyProtection="1">
      <alignment horizontal="center" vertical="center"/>
      <protection locked="0"/>
    </xf>
    <xf numFmtId="0" fontId="17" fillId="2" borderId="66" xfId="0" applyNumberFormat="1" applyFont="1" applyFill="1" applyBorder="1" applyAlignment="1" applyProtection="1">
      <alignment horizontal="center" vertical="center"/>
    </xf>
    <xf numFmtId="0" fontId="17" fillId="2" borderId="36" xfId="0" applyNumberFormat="1" applyFont="1" applyFill="1" applyBorder="1" applyAlignment="1" applyProtection="1">
      <alignment horizontal="center" vertical="center"/>
    </xf>
    <xf numFmtId="0" fontId="17" fillId="2" borderId="62" xfId="0" applyNumberFormat="1" applyFont="1" applyFill="1" applyBorder="1" applyAlignment="1" applyProtection="1">
      <alignment horizontal="center" vertical="center"/>
    </xf>
    <xf numFmtId="0" fontId="17" fillId="2" borderId="40" xfId="0" applyNumberFormat="1" applyFont="1" applyFill="1" applyBorder="1" applyAlignment="1" applyProtection="1">
      <alignment horizontal="center" vertical="center"/>
    </xf>
    <xf numFmtId="0" fontId="3" fillId="2" borderId="25" xfId="0" applyFont="1" applyFill="1" applyBorder="1" applyAlignment="1" applyProtection="1">
      <alignment horizontal="center"/>
    </xf>
    <xf numFmtId="0" fontId="3" fillId="2" borderId="27" xfId="0" applyFont="1" applyFill="1" applyBorder="1" applyAlignment="1" applyProtection="1">
      <alignment horizontal="center"/>
    </xf>
    <xf numFmtId="0" fontId="3" fillId="2" borderId="26" xfId="0" applyFont="1" applyFill="1" applyBorder="1" applyAlignment="1" applyProtection="1">
      <alignment horizontal="center"/>
    </xf>
    <xf numFmtId="0" fontId="4" fillId="2" borderId="25" xfId="0" applyFont="1" applyFill="1" applyBorder="1" applyAlignment="1" applyProtection="1">
      <alignment horizontal="center" vertical="center" wrapText="1"/>
    </xf>
    <xf numFmtId="0" fontId="4" fillId="2" borderId="26" xfId="0" applyFont="1" applyFill="1" applyBorder="1" applyAlignment="1" applyProtection="1">
      <alignment horizontal="center" vertical="center" wrapText="1"/>
    </xf>
    <xf numFmtId="0" fontId="30" fillId="10" borderId="0" xfId="0" applyFont="1" applyFill="1" applyAlignment="1" applyProtection="1">
      <alignment horizontal="left"/>
    </xf>
    <xf numFmtId="0" fontId="19" fillId="14" borderId="31" xfId="0" applyFont="1" applyFill="1" applyBorder="1" applyAlignment="1">
      <alignment horizontal="left" vertical="top" wrapText="1"/>
    </xf>
    <xf numFmtId="0" fontId="19" fillId="14" borderId="22" xfId="0" applyFont="1" applyFill="1" applyBorder="1" applyAlignment="1">
      <alignment horizontal="left" vertical="top" wrapText="1"/>
    </xf>
    <xf numFmtId="0" fontId="19" fillId="14" borderId="24" xfId="0" applyFont="1" applyFill="1" applyBorder="1" applyAlignment="1">
      <alignment horizontal="left" vertical="top" wrapText="1"/>
    </xf>
    <xf numFmtId="0" fontId="1" fillId="13" borderId="25" xfId="0" applyFont="1" applyFill="1" applyBorder="1" applyAlignment="1">
      <alignment horizontal="center"/>
    </xf>
    <xf numFmtId="0" fontId="1" fillId="13" borderId="27" xfId="0" applyFont="1" applyFill="1" applyBorder="1" applyAlignment="1">
      <alignment horizontal="center"/>
    </xf>
    <xf numFmtId="0" fontId="1" fillId="13" borderId="26" xfId="0" applyFont="1" applyFill="1" applyBorder="1" applyAlignment="1">
      <alignment horizontal="center"/>
    </xf>
    <xf numFmtId="0" fontId="14" fillId="8" borderId="0" xfId="0" applyFont="1" applyFill="1" applyAlignment="1">
      <alignment horizontal="center" vertical="top"/>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xf numFmtId="0" fontId="1" fillId="4" borderId="7" xfId="0" applyFont="1" applyFill="1" applyBorder="1" applyAlignment="1">
      <alignment horizontal="left" vertical="center"/>
    </xf>
    <xf numFmtId="0" fontId="1" fillId="2" borderId="34"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40" xfId="0" applyFont="1" applyFill="1" applyBorder="1" applyAlignment="1">
      <alignment horizontal="center" vertical="center"/>
    </xf>
    <xf numFmtId="0" fontId="14" fillId="8" borderId="0" xfId="0" applyFont="1" applyFill="1" applyAlignment="1">
      <alignment horizontal="left" vertical="top"/>
    </xf>
  </cellXfs>
  <cellStyles count="3">
    <cellStyle name="Lien hypertexte" xfId="2" builtinId="8"/>
    <cellStyle name="Normal" xfId="0" builtinId="0"/>
    <cellStyle name="Standard 4" xfId="1" xr:uid="{00000000-0005-0000-0000-000002000000}"/>
  </cellStyles>
  <dxfs count="0"/>
  <tableStyles count="0" defaultTableStyle="TableStyleMedium2" defaultPivotStyle="PivotStyleLight16"/>
  <colors>
    <mruColors>
      <color rgb="FF305496"/>
      <color rgb="FF5F2C09"/>
      <color rgb="FFFF7979"/>
      <color rgb="FFFFD5D5"/>
      <color rgb="FF9191B5"/>
      <color rgb="FFD4D4E2"/>
      <color rgb="FFCC0000"/>
      <color rgb="FF595985"/>
      <color rgb="FFFF5757"/>
      <color rgb="FFBD92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1430131</xdr:colOff>
      <xdr:row>0</xdr:row>
      <xdr:rowOff>66261</xdr:rowOff>
    </xdr:from>
    <xdr:ext cx="184731" cy="264560"/>
    <xdr:sp macro="" textlink="">
      <xdr:nvSpPr>
        <xdr:cNvPr id="2" name="Textfeld 1">
          <a:extLst>
            <a:ext uri="{FF2B5EF4-FFF2-40B4-BE49-F238E27FC236}">
              <a16:creationId xmlns:a16="http://schemas.microsoft.com/office/drawing/2014/main" id="{00000000-0008-0000-0A00-000002000000}"/>
            </a:ext>
          </a:extLst>
        </xdr:cNvPr>
        <xdr:cNvSpPr txBox="1"/>
      </xdr:nvSpPr>
      <xdr:spPr>
        <a:xfrm>
          <a:off x="1590261" y="6626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CH" sz="1100"/>
        </a:p>
      </xdr:txBody>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vmlDrawing" Target="../drawings/vmlDrawing2.vm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9">
    <tabColor theme="5"/>
  </sheetPr>
  <dimension ref="A1:E29"/>
  <sheetViews>
    <sheetView workbookViewId="0">
      <selection activeCell="C12" sqref="C12"/>
    </sheetView>
  </sheetViews>
  <sheetFormatPr baseColWidth="10" defaultRowHeight="14" x14ac:dyDescent="0.3"/>
  <cols>
    <col min="3" max="3" width="14.33203125" bestFit="1" customWidth="1"/>
  </cols>
  <sheetData>
    <row r="1" spans="1:5" x14ac:dyDescent="0.3">
      <c r="A1" s="123" t="s">
        <v>29</v>
      </c>
    </row>
    <row r="3" spans="1:5" x14ac:dyDescent="0.3">
      <c r="A3" s="125" t="s">
        <v>35</v>
      </c>
      <c r="C3" s="126" t="s">
        <v>37</v>
      </c>
      <c r="E3" s="126" t="s">
        <v>31</v>
      </c>
    </row>
    <row r="4" spans="1:5" x14ac:dyDescent="0.3">
      <c r="A4" s="173" t="s">
        <v>6</v>
      </c>
      <c r="C4" s="127" t="s">
        <v>32</v>
      </c>
      <c r="E4" s="174" t="s">
        <v>32</v>
      </c>
    </row>
    <row r="5" spans="1:5" x14ac:dyDescent="0.3">
      <c r="A5" s="124" t="s">
        <v>5</v>
      </c>
      <c r="C5" s="127" t="s">
        <v>139</v>
      </c>
      <c r="E5" s="127" t="s">
        <v>139</v>
      </c>
    </row>
    <row r="6" spans="1:5" x14ac:dyDescent="0.3">
      <c r="A6" s="124" t="s">
        <v>4</v>
      </c>
      <c r="C6" s="127" t="s">
        <v>140</v>
      </c>
      <c r="E6" s="127" t="s">
        <v>140</v>
      </c>
    </row>
    <row r="7" spans="1:5" x14ac:dyDescent="0.3">
      <c r="A7" s="124" t="s">
        <v>7</v>
      </c>
    </row>
    <row r="8" spans="1:5" x14ac:dyDescent="0.3">
      <c r="A8" s="124" t="s">
        <v>8</v>
      </c>
      <c r="C8" s="126" t="s">
        <v>30</v>
      </c>
      <c r="E8" s="126" t="s">
        <v>41</v>
      </c>
    </row>
    <row r="9" spans="1:5" x14ac:dyDescent="0.3">
      <c r="A9" s="124" t="s">
        <v>9</v>
      </c>
      <c r="C9" s="174" t="s">
        <v>32</v>
      </c>
      <c r="E9" s="174" t="s">
        <v>32</v>
      </c>
    </row>
    <row r="10" spans="1:5" x14ac:dyDescent="0.3">
      <c r="A10" s="124" t="s">
        <v>10</v>
      </c>
      <c r="C10" s="127" t="s">
        <v>139</v>
      </c>
      <c r="E10" s="303" t="s">
        <v>142</v>
      </c>
    </row>
    <row r="11" spans="1:5" x14ac:dyDescent="0.3">
      <c r="A11" s="124" t="s">
        <v>11</v>
      </c>
      <c r="C11" s="127" t="s">
        <v>140</v>
      </c>
      <c r="E11" s="302" t="s">
        <v>141</v>
      </c>
    </row>
    <row r="12" spans="1:5" x14ac:dyDescent="0.3">
      <c r="A12" s="124" t="s">
        <v>3</v>
      </c>
      <c r="C12" s="127" t="s">
        <v>210</v>
      </c>
      <c r="E12" s="301"/>
    </row>
    <row r="13" spans="1:5" x14ac:dyDescent="0.3">
      <c r="A13" s="124" t="s">
        <v>12</v>
      </c>
    </row>
    <row r="14" spans="1:5" x14ac:dyDescent="0.3">
      <c r="A14" s="124" t="s">
        <v>13</v>
      </c>
    </row>
    <row r="15" spans="1:5" x14ac:dyDescent="0.3">
      <c r="A15" s="124" t="s">
        <v>14</v>
      </c>
    </row>
    <row r="16" spans="1:5" x14ac:dyDescent="0.3">
      <c r="A16" s="124" t="s">
        <v>15</v>
      </c>
    </row>
    <row r="17" spans="1:1" x14ac:dyDescent="0.3">
      <c r="A17" s="124" t="s">
        <v>16</v>
      </c>
    </row>
    <row r="18" spans="1:1" x14ac:dyDescent="0.3">
      <c r="A18" s="124" t="s">
        <v>17</v>
      </c>
    </row>
    <row r="19" spans="1:1" x14ac:dyDescent="0.3">
      <c r="A19" s="124" t="s">
        <v>18</v>
      </c>
    </row>
    <row r="20" spans="1:1" x14ac:dyDescent="0.3">
      <c r="A20" s="124" t="s">
        <v>19</v>
      </c>
    </row>
    <row r="21" spans="1:1" x14ac:dyDescent="0.3">
      <c r="A21" s="124" t="s">
        <v>20</v>
      </c>
    </row>
    <row r="22" spans="1:1" x14ac:dyDescent="0.3">
      <c r="A22" s="124" t="s">
        <v>21</v>
      </c>
    </row>
    <row r="23" spans="1:1" x14ac:dyDescent="0.3">
      <c r="A23" s="124" t="s">
        <v>22</v>
      </c>
    </row>
    <row r="24" spans="1:1" x14ac:dyDescent="0.3">
      <c r="A24" s="124" t="s">
        <v>23</v>
      </c>
    </row>
    <row r="25" spans="1:1" x14ac:dyDescent="0.3">
      <c r="A25" s="124" t="s">
        <v>24</v>
      </c>
    </row>
    <row r="26" spans="1:1" x14ac:dyDescent="0.3">
      <c r="A26" s="124" t="s">
        <v>25</v>
      </c>
    </row>
    <row r="27" spans="1:1" x14ac:dyDescent="0.3">
      <c r="A27" s="124" t="s">
        <v>26</v>
      </c>
    </row>
    <row r="28" spans="1:1" x14ac:dyDescent="0.3">
      <c r="A28" s="124" t="s">
        <v>27</v>
      </c>
    </row>
    <row r="29" spans="1:1" x14ac:dyDescent="0.3">
      <c r="A29" s="124" t="s">
        <v>28</v>
      </c>
    </row>
  </sheetData>
  <customSheetViews>
    <customSheetView guid="{168849A9-FED9-4458-942F-290616B3A25C}" state="hidden">
      <selection activeCell="E17" sqref="E17:E18"/>
      <pageMargins left="0.7" right="0.7" top="0.78740157499999996" bottom="0.78740157499999996" header="0.3" footer="0.3"/>
      <pageSetup paperSize="9" orientation="portrait" horizontalDpi="90" verticalDpi="90" r:id="rId1"/>
    </customSheetView>
  </customSheetViews>
  <pageMargins left="0.7" right="0.7" top="0.78740157499999996" bottom="0.78740157499999996" header="0.3" footer="0.3"/>
  <pageSetup paperSize="9" orientation="portrait" horizontalDpi="90" verticalDpi="9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Tabelle10">
    <tabColor theme="3" tint="0.59999389629810485"/>
    <pageSetUpPr fitToPage="1"/>
  </sheetPr>
  <dimension ref="B1:K30"/>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9" width="15.83203125" style="13" customWidth="1"/>
    <col min="10" max="10" width="2.58203125" style="13" customWidth="1"/>
    <col min="11" max="11" width="63.58203125" style="13" customWidth="1"/>
    <col min="12" max="12" width="2.08203125" style="13" customWidth="1"/>
    <col min="13" max="16384" width="11" style="13"/>
  </cols>
  <sheetData>
    <row r="1" spans="2:11" s="1" customFormat="1" ht="28" x14ac:dyDescent="0.6">
      <c r="B1" s="450" t="s">
        <v>132</v>
      </c>
      <c r="C1" s="450"/>
      <c r="D1" s="450"/>
      <c r="E1" s="450"/>
      <c r="F1" s="450"/>
      <c r="G1" s="450"/>
      <c r="H1" s="450"/>
      <c r="I1" s="450"/>
    </row>
    <row r="2" spans="2:11" s="1" customFormat="1" x14ac:dyDescent="0.3">
      <c r="B2" s="16"/>
      <c r="C2" s="16"/>
      <c r="D2" s="16"/>
      <c r="E2" s="16"/>
      <c r="F2" s="16"/>
      <c r="G2" s="16"/>
    </row>
    <row r="3" spans="2:11" s="1" customFormat="1" ht="28.5" customHeight="1" x14ac:dyDescent="0.3">
      <c r="B3" s="316" t="s">
        <v>42</v>
      </c>
      <c r="C3" s="452" t="str">
        <f>Indice!D4</f>
        <v>CH</v>
      </c>
      <c r="D3" s="452"/>
      <c r="E3" s="93"/>
      <c r="F3" s="93"/>
    </row>
    <row r="4" spans="2:11" s="1" customFormat="1" ht="28.5" customHeight="1" x14ac:dyDescent="0.3">
      <c r="B4" s="316" t="s">
        <v>51</v>
      </c>
      <c r="C4" s="451"/>
      <c r="D4" s="451"/>
      <c r="E4" s="93"/>
      <c r="F4" s="93"/>
      <c r="H4" s="94"/>
    </row>
    <row r="5" spans="2:11" ht="13" customHeight="1" thickBot="1" x14ac:dyDescent="0.35"/>
    <row r="6" spans="2:11" ht="45" customHeight="1" thickBot="1" x14ac:dyDescent="0.35">
      <c r="B6" s="453"/>
      <c r="C6" s="454"/>
      <c r="D6" s="454"/>
      <c r="E6" s="454"/>
      <c r="F6" s="454"/>
      <c r="G6" s="454"/>
      <c r="H6" s="454"/>
      <c r="I6" s="455"/>
      <c r="K6" s="67" t="s">
        <v>57</v>
      </c>
    </row>
    <row r="7" spans="2:11" s="16" customFormat="1" ht="45" customHeight="1" thickBot="1" x14ac:dyDescent="0.35">
      <c r="B7" s="160" t="s">
        <v>117</v>
      </c>
      <c r="C7" s="156" t="s">
        <v>56</v>
      </c>
      <c r="D7" s="157" t="s">
        <v>68</v>
      </c>
      <c r="E7" s="157" t="s">
        <v>118</v>
      </c>
      <c r="F7" s="157" t="s">
        <v>181</v>
      </c>
      <c r="G7" s="157" t="s">
        <v>70</v>
      </c>
      <c r="H7" s="158" t="s">
        <v>119</v>
      </c>
      <c r="I7" s="159" t="s">
        <v>120</v>
      </c>
      <c r="J7" s="122"/>
      <c r="K7" s="471"/>
    </row>
    <row r="8" spans="2:11" ht="60" customHeight="1" thickBot="1" x14ac:dyDescent="0.35">
      <c r="B8" s="310" t="s">
        <v>133</v>
      </c>
      <c r="C8" s="96">
        <f>SUM(D8:E8, G8)</f>
        <v>0</v>
      </c>
      <c r="D8" s="97"/>
      <c r="E8" s="98"/>
      <c r="F8" s="98"/>
      <c r="G8" s="98"/>
      <c r="H8" s="120"/>
      <c r="I8" s="99"/>
      <c r="K8" s="472"/>
    </row>
    <row r="9" spans="2:11" ht="43.5" customHeight="1" thickBot="1" x14ac:dyDescent="0.35">
      <c r="B9" s="267" t="s">
        <v>222</v>
      </c>
      <c r="C9" s="265">
        <f>SUM(D9:E9, G9)</f>
        <v>4906</v>
      </c>
      <c r="D9" s="263">
        <f>VLOOKUP($C$3,bestand_ias,3,FALSE)</f>
        <v>2346</v>
      </c>
      <c r="E9" s="260">
        <f>VLOOKUP($C$3,bestand_ias,4,FALSE)</f>
        <v>2560</v>
      </c>
      <c r="F9" s="260">
        <f>VLOOKUP($C$3,bestand_ias,5,FALSE)</f>
        <v>44464</v>
      </c>
      <c r="G9" s="260" t="s">
        <v>33</v>
      </c>
      <c r="H9" s="260">
        <f>VLOOKUP($C$3,bestand_ias,6,FALSE)</f>
        <v>1594</v>
      </c>
      <c r="I9" s="261">
        <f>VLOOKUP($C$3,bestand_ias,7,FALSE)</f>
        <v>3312</v>
      </c>
      <c r="K9" s="472"/>
    </row>
    <row r="10" spans="2:11" ht="14.15" customHeight="1" x14ac:dyDescent="0.3">
      <c r="B10" s="352" t="s">
        <v>223</v>
      </c>
      <c r="K10" s="472"/>
    </row>
    <row r="11" spans="2:11" ht="14.15" customHeight="1" thickBot="1" x14ac:dyDescent="0.35">
      <c r="K11" s="472"/>
    </row>
    <row r="12" spans="2:11" ht="45" customHeight="1" thickBot="1" x14ac:dyDescent="0.35">
      <c r="B12" s="459" t="s">
        <v>121</v>
      </c>
      <c r="C12" s="460"/>
      <c r="D12" s="460"/>
      <c r="E12" s="460"/>
      <c r="F12" s="460"/>
      <c r="G12" s="460"/>
      <c r="H12" s="460"/>
      <c r="I12" s="461"/>
      <c r="J12" s="14"/>
      <c r="K12" s="472"/>
    </row>
    <row r="13" spans="2:11" ht="21" customHeight="1" x14ac:dyDescent="0.3">
      <c r="B13" s="18" t="s">
        <v>122</v>
      </c>
      <c r="C13" s="462" t="s">
        <v>97</v>
      </c>
      <c r="D13" s="462"/>
      <c r="E13" s="462"/>
      <c r="F13" s="462"/>
      <c r="G13" s="462"/>
      <c r="H13" s="462"/>
      <c r="I13" s="463"/>
      <c r="J13" s="12"/>
      <c r="K13" s="472"/>
    </row>
    <row r="14" spans="2:11" ht="43.5" customHeight="1" x14ac:dyDescent="0.3">
      <c r="B14" s="19" t="s">
        <v>55</v>
      </c>
      <c r="C14" s="464" t="s">
        <v>134</v>
      </c>
      <c r="D14" s="464"/>
      <c r="E14" s="464"/>
      <c r="F14" s="464"/>
      <c r="G14" s="464"/>
      <c r="H14" s="464"/>
      <c r="I14" s="465"/>
      <c r="J14" s="12"/>
      <c r="K14" s="472"/>
    </row>
    <row r="15" spans="2:11" ht="73" customHeight="1" thickBot="1" x14ac:dyDescent="0.35">
      <c r="B15" s="20" t="s">
        <v>123</v>
      </c>
      <c r="C15" s="466" t="s">
        <v>185</v>
      </c>
      <c r="D15" s="466"/>
      <c r="E15" s="466"/>
      <c r="F15" s="466"/>
      <c r="G15" s="466"/>
      <c r="H15" s="466"/>
      <c r="I15" s="467"/>
      <c r="J15" s="12"/>
      <c r="K15" s="473"/>
    </row>
    <row r="16" spans="2:11" ht="14.15" customHeight="1" x14ac:dyDescent="0.3"/>
    <row r="17" spans="3:3" ht="14.15" customHeight="1" x14ac:dyDescent="0.3"/>
    <row r="18" spans="3:3" ht="14.15" customHeight="1" x14ac:dyDescent="0.3"/>
    <row r="19" spans="3:3" ht="14.15" customHeight="1" x14ac:dyDescent="0.3">
      <c r="C19" s="17"/>
    </row>
    <row r="20" spans="3:3" ht="14.15" customHeight="1" x14ac:dyDescent="0.3"/>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sheetData>
  <sheetProtection algorithmName="SHA-512" hashValue="v+DhkbiTOx2vKwS2mygFSLNetVUHDquVU/BkXJfqGMUEWD+fGas1/SUL5lY57fNyXAIE5T9URS6FZH7pjREVig==" saltValue="ZxfShfC+xp+19Q6F0+tfcg==" spinCount="100000" sheet="1" selectLockedCells="1"/>
  <protectedRanges>
    <protectedRange password="CAA2" sqref="C8:C9" name="Summe"/>
  </protectedRanges>
  <customSheetViews>
    <customSheetView guid="{168849A9-FED9-4458-942F-290616B3A25C}" scale="85" showPageBreaks="1" showGridLines="0" fitToPage="1" printArea="1" topLeftCell="A7">
      <selection activeCell="B1" sqref="B1:H1"/>
      <pageMargins left="0.70866141732283472" right="0.70866141732283472" top="1.1811023622047245" bottom="0.78740157480314965" header="0.31496062992125984" footer="0.31496062992125984"/>
      <pageSetup paperSize="8" scale="87" fitToHeight="0" orientation="landscape" cellComments="atEnd" r:id="rId1"/>
      <headerFooter>
        <oddHeader>&amp;LKennzahlenraster KIP / IAS&amp;R&amp;G</oddHeader>
        <oddFooter>&amp;L&amp;A: Eröffnete Dossiers&amp;R&amp;P</oddFooter>
      </headerFooter>
    </customSheetView>
  </customSheetViews>
  <mergeCells count="9">
    <mergeCell ref="B1:I1"/>
    <mergeCell ref="C3:D3"/>
    <mergeCell ref="C4:D4"/>
    <mergeCell ref="B6:I6"/>
    <mergeCell ref="K7:K15"/>
    <mergeCell ref="B12:I12"/>
    <mergeCell ref="C13:I13"/>
    <mergeCell ref="C14:I14"/>
    <mergeCell ref="C15:I15"/>
  </mergeCells>
  <dataValidations count="3">
    <dataValidation type="whole" operator="greaterThanOrEqual" allowBlank="1" showErrorMessage="1" errorTitle="Data del rilevamento" error="Si prega di compliare" promptTitle="Ganze Zahlen" prompt="Nur ganzzahlige Werte (0, 1, 200 etc.)" sqref="D8:I8" xr:uid="{00000000-0002-0000-0900-000000000000}">
      <formula1>0</formula1>
    </dataValidation>
    <dataValidation type="date" allowBlank="1" showInputMessage="1" showErrorMessage="1" errorTitle="Data del rilevamento" error="Si prega di compilare" promptTitle="Data del rilevamento" prompt="Si prega di compilare" sqref="C4:D4" xr:uid="{00000000-0002-0000-0900-000001000000}">
      <formula1>44927</formula1>
      <formula2>45291</formula2>
    </dataValidation>
    <dataValidation allowBlank="1" sqref="C9:I9" xr:uid="{00000000-0002-0000-0900-000002000000}"/>
  </dataValidations>
  <pageMargins left="0.70866141732283472" right="0.70866141732283472" top="1.1811023622047245" bottom="0.78740157480314965" header="0.31496062992125984" footer="0.31496062992125984"/>
  <pageSetup paperSize="8" scale="87" fitToHeight="0" orientation="landscape" cellComments="atEnd" r:id="rId2"/>
  <headerFooter>
    <oddFooter>&amp;L&amp;A: Eröffnete Dossiers&amp;R&amp;P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Tabelle11">
    <tabColor theme="3" tint="0.59999389629810485"/>
    <pageSetUpPr fitToPage="1"/>
  </sheetPr>
  <dimension ref="B1:Q20"/>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1" width="15.83203125" style="13" customWidth="1"/>
    <col min="12" max="12" width="20.25" style="13" customWidth="1"/>
    <col min="13" max="13" width="2.08203125" style="13" customWidth="1"/>
    <col min="14" max="14" width="63.58203125" style="13" customWidth="1"/>
    <col min="15" max="15" width="2.08203125" style="13" customWidth="1"/>
    <col min="16" max="16384" width="11" style="13"/>
  </cols>
  <sheetData>
    <row r="1" spans="2:17" s="1" customFormat="1" ht="28" x14ac:dyDescent="0.6">
      <c r="B1" s="450" t="s">
        <v>135</v>
      </c>
      <c r="C1" s="450"/>
      <c r="D1" s="450"/>
      <c r="E1" s="450"/>
      <c r="F1" s="450"/>
      <c r="G1" s="450"/>
      <c r="H1" s="450"/>
      <c r="I1" s="450"/>
      <c r="J1" s="450"/>
      <c r="K1" s="450"/>
      <c r="L1" s="288"/>
    </row>
    <row r="2" spans="2:17" s="1" customFormat="1" x14ac:dyDescent="0.3">
      <c r="B2" s="16"/>
      <c r="C2" s="16"/>
      <c r="D2" s="16"/>
      <c r="E2" s="16"/>
      <c r="F2" s="16"/>
      <c r="G2" s="16"/>
    </row>
    <row r="3" spans="2:17" s="1" customFormat="1" ht="28.5" customHeight="1" x14ac:dyDescent="0.3">
      <c r="B3" s="316" t="s">
        <v>42</v>
      </c>
      <c r="C3" s="452" t="str">
        <f>Indice!D4</f>
        <v>CH</v>
      </c>
      <c r="D3" s="452"/>
      <c r="E3" s="93"/>
      <c r="F3" s="93"/>
      <c r="P3" s="289" t="s">
        <v>32</v>
      </c>
      <c r="Q3" s="289"/>
    </row>
    <row r="4" spans="2:17" s="1" customFormat="1" ht="28.5" customHeight="1" x14ac:dyDescent="0.3">
      <c r="B4" s="316" t="s">
        <v>51</v>
      </c>
      <c r="C4" s="451"/>
      <c r="D4" s="451"/>
      <c r="E4" s="93"/>
      <c r="F4" s="93"/>
      <c r="H4" s="94"/>
      <c r="P4" s="289" t="s">
        <v>40</v>
      </c>
      <c r="Q4" s="289"/>
    </row>
    <row r="5" spans="2:17" ht="14.15" customHeight="1" thickBot="1" x14ac:dyDescent="0.35">
      <c r="P5" s="289" t="s">
        <v>39</v>
      </c>
      <c r="Q5" s="289"/>
    </row>
    <row r="6" spans="2:17" ht="45" customHeight="1" thickBot="1" x14ac:dyDescent="0.35">
      <c r="B6" s="453"/>
      <c r="C6" s="454"/>
      <c r="D6" s="454"/>
      <c r="E6" s="454"/>
      <c r="F6" s="454"/>
      <c r="G6" s="454"/>
      <c r="H6" s="454"/>
      <c r="I6" s="455"/>
      <c r="J6" s="437" t="s">
        <v>136</v>
      </c>
      <c r="K6" s="438"/>
      <c r="L6" s="67" t="s">
        <v>137</v>
      </c>
      <c r="N6" s="67" t="s">
        <v>57</v>
      </c>
      <c r="P6" s="289"/>
      <c r="Q6" s="289"/>
    </row>
    <row r="7" spans="2:17" s="16" customFormat="1" ht="87.65" customHeight="1" thickBot="1" x14ac:dyDescent="0.35">
      <c r="B7" s="170" t="s">
        <v>117</v>
      </c>
      <c r="C7" s="150" t="s">
        <v>56</v>
      </c>
      <c r="D7" s="151" t="s">
        <v>68</v>
      </c>
      <c r="E7" s="151" t="s">
        <v>118</v>
      </c>
      <c r="F7" s="151" t="s">
        <v>181</v>
      </c>
      <c r="G7" s="151" t="s">
        <v>70</v>
      </c>
      <c r="H7" s="152" t="s">
        <v>119</v>
      </c>
      <c r="I7" s="153" t="s">
        <v>120</v>
      </c>
      <c r="J7" s="318" t="s">
        <v>114</v>
      </c>
      <c r="K7" s="319" t="s">
        <v>115</v>
      </c>
      <c r="L7" s="154" t="s">
        <v>138</v>
      </c>
      <c r="N7" s="471"/>
    </row>
    <row r="8" spans="2:17" ht="60" customHeight="1" thickBot="1" x14ac:dyDescent="0.35">
      <c r="B8" s="144" t="s">
        <v>100</v>
      </c>
      <c r="C8" s="100">
        <f>SUM(D8:E8, G8)</f>
        <v>0</v>
      </c>
      <c r="D8" s="314"/>
      <c r="E8" s="313"/>
      <c r="F8" s="313"/>
      <c r="G8" s="313"/>
      <c r="H8" s="313"/>
      <c r="I8" s="312"/>
      <c r="J8" s="147" t="s">
        <v>32</v>
      </c>
      <c r="K8" s="149" t="s">
        <v>32</v>
      </c>
      <c r="L8" s="285" t="s">
        <v>32</v>
      </c>
      <c r="N8" s="472"/>
    </row>
    <row r="9" spans="2:17" ht="43.5" customHeight="1" x14ac:dyDescent="0.3">
      <c r="B9" s="243" t="s">
        <v>232</v>
      </c>
      <c r="C9" s="244">
        <f>SUM(D9:E9, G9)</f>
        <v>17184</v>
      </c>
      <c r="D9" s="246">
        <f>VLOOKUP($C$3,bestand_ias,8,FALSE)</f>
        <v>9928</v>
      </c>
      <c r="E9" s="246">
        <f>VLOOKUP($C$3,bestand_ias,9,FALSE)</f>
        <v>7256</v>
      </c>
      <c r="F9" s="246">
        <f>VLOOKUP($C$3,bestand_ias,10,FALSE)</f>
        <v>44461</v>
      </c>
      <c r="G9" s="246" t="s">
        <v>34</v>
      </c>
      <c r="H9" s="246">
        <f>VLOOKUP($C$3,bestand_ias,11,FALSE)</f>
        <v>6969</v>
      </c>
      <c r="I9" s="247">
        <f>VLOOKUP($C$3,bestand_ias,12,FALSE)</f>
        <v>10215</v>
      </c>
      <c r="J9" s="281"/>
      <c r="K9" s="283"/>
      <c r="L9" s="286"/>
      <c r="N9" s="472"/>
    </row>
    <row r="10" spans="2:17" ht="43.5" customHeight="1" thickBot="1" x14ac:dyDescent="0.35">
      <c r="B10" s="229" t="s">
        <v>231</v>
      </c>
      <c r="C10" s="230">
        <f>SUM(D10:E10, G10)</f>
        <v>24208</v>
      </c>
      <c r="D10" s="231">
        <f>VLOOKUP($C$3,bestand_alle,3,FALSE)</f>
        <v>14479</v>
      </c>
      <c r="E10" s="232">
        <f>VLOOKUP($C$3,bestand_alle,4,FALSE)</f>
        <v>9729</v>
      </c>
      <c r="F10" s="232">
        <f>VLOOKUP($C$3,bestand_alle,5,FALSE)</f>
        <v>44461</v>
      </c>
      <c r="G10" s="232" t="s">
        <v>34</v>
      </c>
      <c r="H10" s="232">
        <f>VLOOKUP($C$3,bestand_alle,6,FALSE)</f>
        <v>10619</v>
      </c>
      <c r="I10" s="233">
        <f>VLOOKUP($C$3,bestand_alle,7,FALSE)</f>
        <v>13589</v>
      </c>
      <c r="J10" s="282"/>
      <c r="K10" s="284"/>
      <c r="L10" s="287"/>
      <c r="N10" s="472"/>
    </row>
    <row r="11" spans="2:17" x14ac:dyDescent="0.3">
      <c r="B11" s="352" t="s">
        <v>223</v>
      </c>
      <c r="N11" s="472"/>
    </row>
    <row r="12" spans="2:17" ht="14.5" thickBot="1" x14ac:dyDescent="0.35">
      <c r="J12" s="12"/>
      <c r="K12" s="12"/>
      <c r="N12" s="472"/>
    </row>
    <row r="13" spans="2:17" ht="45" customHeight="1" thickBot="1" x14ac:dyDescent="0.35">
      <c r="B13" s="493" t="s">
        <v>121</v>
      </c>
      <c r="C13" s="494"/>
      <c r="D13" s="494"/>
      <c r="E13" s="494"/>
      <c r="F13" s="494"/>
      <c r="G13" s="494"/>
      <c r="H13" s="494"/>
      <c r="I13" s="494"/>
      <c r="J13" s="494"/>
      <c r="K13" s="494"/>
      <c r="L13" s="495"/>
      <c r="N13" s="472"/>
    </row>
    <row r="14" spans="2:17" ht="37.5" customHeight="1" thickBot="1" x14ac:dyDescent="0.35">
      <c r="B14" s="165" t="s">
        <v>122</v>
      </c>
      <c r="C14" s="496" t="s">
        <v>189</v>
      </c>
      <c r="D14" s="497"/>
      <c r="E14" s="497"/>
      <c r="F14" s="497"/>
      <c r="G14" s="497"/>
      <c r="H14" s="497"/>
      <c r="I14" s="497"/>
      <c r="J14" s="497"/>
      <c r="K14" s="497"/>
      <c r="L14" s="498"/>
      <c r="N14" s="472"/>
    </row>
    <row r="15" spans="2:17" ht="107.5" customHeight="1" thickBot="1" x14ac:dyDescent="0.35">
      <c r="B15" s="166" t="s">
        <v>55</v>
      </c>
      <c r="C15" s="496" t="s">
        <v>218</v>
      </c>
      <c r="D15" s="497"/>
      <c r="E15" s="497"/>
      <c r="F15" s="497"/>
      <c r="G15" s="497"/>
      <c r="H15" s="497"/>
      <c r="I15" s="497"/>
      <c r="J15" s="497"/>
      <c r="K15" s="497"/>
      <c r="L15" s="498"/>
      <c r="N15" s="472"/>
    </row>
    <row r="16" spans="2:17" ht="50.5" customHeight="1" thickBot="1" x14ac:dyDescent="0.35">
      <c r="B16" s="167" t="s">
        <v>123</v>
      </c>
      <c r="C16" s="496" t="s">
        <v>190</v>
      </c>
      <c r="D16" s="497"/>
      <c r="E16" s="497"/>
      <c r="F16" s="497"/>
      <c r="G16" s="497"/>
      <c r="H16" s="497"/>
      <c r="I16" s="497"/>
      <c r="J16" s="497"/>
      <c r="K16" s="497"/>
      <c r="L16" s="498"/>
      <c r="N16" s="473"/>
    </row>
    <row r="17" spans="3:12" ht="36.75" customHeight="1" x14ac:dyDescent="0.3">
      <c r="L17" s="12"/>
    </row>
    <row r="20" spans="3:12" x14ac:dyDescent="0.3">
      <c r="C20" s="17"/>
    </row>
  </sheetData>
  <sheetProtection algorithmName="SHA-512" hashValue="MiE1AZ1suvaHOv0UBbf5HT8lBL3OkzMG5gHqZQgmXeSm+5UJkPVkzvvAjqhDxDklpNw3+ZbR8ENKzs3giVl3cg==" saltValue="OVP/vPkuKXGiMfVu5HSlIw==" spinCount="100000" sheet="1" selectLockedCells="1"/>
  <protectedRanges>
    <protectedRange password="CAA2" sqref="C8:C10" name="Summe"/>
  </protectedRanges>
  <customSheetViews>
    <customSheetView guid="{168849A9-FED9-4458-942F-290616B3A25C}" scale="85" showPageBreaks="1" showGridLines="0" fitToPage="1" printArea="1">
      <selection activeCell="N4" sqref="N4:N5"/>
      <pageMargins left="0.70866141732283472" right="0.70866141732283472" top="1.1811023622047245" bottom="0.78740157480314965" header="0.31496062992125984" footer="0.31496062992125984"/>
      <pageSetup paperSize="8" scale="71" fitToHeight="0" orientation="landscape" cellComments="atEnd" r:id="rId1"/>
      <headerFooter>
        <oddHeader>&amp;LKennzahlenraster KIP / IAS&amp;R&amp;G</oddHeader>
        <oddFooter>&amp;L&amp;A: Sprachförderung Erwachsene&amp;R&amp;P</oddFooter>
      </headerFooter>
    </customSheetView>
  </customSheetViews>
  <mergeCells count="10">
    <mergeCell ref="B1:K1"/>
    <mergeCell ref="N7:N16"/>
    <mergeCell ref="B6:I6"/>
    <mergeCell ref="J6:K6"/>
    <mergeCell ref="C3:D3"/>
    <mergeCell ref="C4:D4"/>
    <mergeCell ref="B13:L13"/>
    <mergeCell ref="C14:L14"/>
    <mergeCell ref="C15:L15"/>
    <mergeCell ref="C16:L16"/>
  </mergeCells>
  <dataValidations count="4">
    <dataValidation type="whole" operator="greaterThanOrEqual" allowBlank="1" showErrorMessage="1" errorTitle="Fehler" error="Solo i numeri interi e positivi sono validi (0, 200, etc.). " promptTitle="Ganze Zahlen" prompt="Nur ganzzahlige Werte (0, 1, 200 etc.)" sqref="D8:I8" xr:uid="{00000000-0002-0000-0A00-000000000000}">
      <formula1>0</formula1>
    </dataValidation>
    <dataValidation type="date" allowBlank="1" showInputMessage="1" showErrorMessage="1" errorTitle="Data del rilevamento" error="Si prega di compilare" promptTitle="Data del rilevamento" prompt="Si prega di compilare" sqref="C4:D4" xr:uid="{00000000-0002-0000-0A00-000001000000}">
      <formula1>44927</formula1>
      <formula2>45291</formula2>
    </dataValidation>
    <dataValidation allowBlank="1" sqref="C9:I10" xr:uid="{00000000-0002-0000-0A00-000002000000}"/>
    <dataValidation type="list" allowBlank="1" showInputMessage="1" showErrorMessage="1" sqref="P4:P5 L9:L10 M8:M10" xr:uid="{00000000-0002-0000-0A00-000003000000}">
      <formula1>$P$4:$P$5</formula1>
    </dataValidation>
  </dataValidations>
  <pageMargins left="0.70866141732283472" right="0.70866141732283472" top="1.1811023622047245" bottom="0.78740157480314965" header="0.31496062992125984" footer="0.31496062992125984"/>
  <pageSetup paperSize="8" scale="63" fitToHeight="0" orientation="landscape" cellComments="atEnd" r:id="rId2"/>
  <headerFooter>
    <oddHeader>&amp;LKennzahlenraster KIP / IAS&amp;R&amp;G</oddHeader>
    <oddFooter>&amp;L&amp;A: Sprachförderung Erwachsene&amp;R&amp;P</oddFooter>
  </headerFooter>
  <drawing r:id="rId3"/>
  <legacyDrawingHF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A00-000004000000}">
          <x14:formula1>
            <xm:f>Dropdownlisten!$E$9:$E$11</xm:f>
          </x14:formula1>
          <xm:sqref>L8</xm:sqref>
        </x14:dataValidation>
        <x14:dataValidation type="list" operator="greaterThanOrEqual" allowBlank="1" errorTitle="Fehler" error="Gültig sind nur positive, ganze Zahlen (0, 200, etc.). Kein Text" promptTitle="Ganze Zahlen" prompt="Nur ganzzahlige Werte (0, 1, 200 etc.)" xr:uid="{00000000-0002-0000-0A00-000005000000}">
          <x14:formula1>
            <xm:f>Dropdownlisten!$E$4:$E$6</xm:f>
          </x14:formula1>
          <xm:sqref>K8</xm:sqref>
        </x14:dataValidation>
        <x14:dataValidation type="list" operator="greaterThanOrEqual" allowBlank="1" xr:uid="{00000000-0002-0000-0A00-000006000000}">
          <x14:formula1>
            <xm:f>Dropdownlisten!$C$4:$C$6</xm:f>
          </x14:formula1>
          <xm:sqref>J8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Tabelle12">
    <tabColor theme="3" tint="0.59999389629810485"/>
    <pageSetUpPr fitToPage="1"/>
  </sheetPr>
  <dimension ref="B1:R69"/>
  <sheetViews>
    <sheetView showGridLines="0" zoomScale="75" zoomScaleNormal="75" workbookViewId="0">
      <selection activeCell="C4" sqref="C4:D4"/>
    </sheetView>
  </sheetViews>
  <sheetFormatPr baseColWidth="10" defaultColWidth="11" defaultRowHeight="14" x14ac:dyDescent="0.3"/>
  <cols>
    <col min="1" max="1" width="2.08203125" style="13" customWidth="1"/>
    <col min="2" max="2" width="37.33203125" style="13" customWidth="1"/>
    <col min="3" max="10" width="15.83203125" style="13" customWidth="1"/>
    <col min="11" max="13" width="13.58203125" style="13" customWidth="1"/>
    <col min="14" max="14" width="2.58203125" style="13" customWidth="1"/>
    <col min="15" max="15" width="63.58203125" style="13" customWidth="1"/>
    <col min="16" max="16" width="2.08203125" style="13" customWidth="1"/>
    <col min="17" max="16384" width="11" style="13"/>
  </cols>
  <sheetData>
    <row r="1" spans="2:18" s="1" customFormat="1" ht="28" x14ac:dyDescent="0.6">
      <c r="B1" s="450" t="s">
        <v>143</v>
      </c>
      <c r="C1" s="450"/>
      <c r="D1" s="450"/>
      <c r="E1" s="450"/>
      <c r="F1" s="450"/>
      <c r="G1" s="450"/>
      <c r="H1" s="450"/>
      <c r="I1" s="450"/>
      <c r="J1" s="450"/>
      <c r="K1" s="450"/>
      <c r="L1" s="450"/>
      <c r="M1" s="450"/>
    </row>
    <row r="2" spans="2:18" s="1" customFormat="1" x14ac:dyDescent="0.3">
      <c r="B2" s="16"/>
      <c r="C2" s="16"/>
      <c r="D2" s="16"/>
      <c r="E2" s="16"/>
      <c r="F2" s="16"/>
    </row>
    <row r="3" spans="2:18" s="1" customFormat="1" ht="28.5" customHeight="1" x14ac:dyDescent="0.3">
      <c r="B3" s="316" t="s">
        <v>42</v>
      </c>
      <c r="C3" s="452" t="str">
        <f>Indice!D4</f>
        <v>CH</v>
      </c>
      <c r="D3" s="452"/>
      <c r="E3" s="93"/>
    </row>
    <row r="4" spans="2:18" s="1" customFormat="1" ht="28.5" customHeight="1" x14ac:dyDescent="0.3">
      <c r="B4" s="316" t="s">
        <v>51</v>
      </c>
      <c r="C4" s="451"/>
      <c r="D4" s="451"/>
      <c r="E4" s="93"/>
      <c r="G4" s="94"/>
    </row>
    <row r="5" spans="2:18" ht="14.15" customHeight="1" thickBot="1" x14ac:dyDescent="0.35">
      <c r="O5" s="1"/>
    </row>
    <row r="6" spans="2:18" ht="45" customHeight="1" thickBot="1" x14ac:dyDescent="0.35">
      <c r="B6" s="453"/>
      <c r="C6" s="454"/>
      <c r="D6" s="454"/>
      <c r="E6" s="454"/>
      <c r="F6" s="454"/>
      <c r="G6" s="454"/>
      <c r="H6" s="455"/>
      <c r="I6" s="437" t="s">
        <v>136</v>
      </c>
      <c r="J6" s="508"/>
      <c r="K6" s="437" t="s">
        <v>144</v>
      </c>
      <c r="L6" s="508"/>
      <c r="M6" s="438"/>
      <c r="O6" s="67" t="s">
        <v>57</v>
      </c>
      <c r="P6" s="16"/>
      <c r="Q6" s="16"/>
      <c r="R6" s="16"/>
    </row>
    <row r="7" spans="2:18" s="16" customFormat="1" ht="87.75" customHeight="1" thickBot="1" x14ac:dyDescent="0.35">
      <c r="B7" s="160" t="s">
        <v>117</v>
      </c>
      <c r="C7" s="156" t="s">
        <v>56</v>
      </c>
      <c r="D7" s="157" t="s">
        <v>68</v>
      </c>
      <c r="E7" s="157" t="s">
        <v>118</v>
      </c>
      <c r="F7" s="157" t="s">
        <v>70</v>
      </c>
      <c r="G7" s="158" t="s">
        <v>119</v>
      </c>
      <c r="H7" s="159" t="s">
        <v>120</v>
      </c>
      <c r="I7" s="320" t="s">
        <v>114</v>
      </c>
      <c r="J7" s="321" t="s">
        <v>115</v>
      </c>
      <c r="K7" s="322" t="s">
        <v>145</v>
      </c>
      <c r="L7" s="323" t="s">
        <v>146</v>
      </c>
      <c r="M7" s="324" t="s">
        <v>147</v>
      </c>
      <c r="N7" s="13"/>
      <c r="O7" s="499"/>
    </row>
    <row r="8" spans="2:18" ht="60" customHeight="1" thickBot="1" x14ac:dyDescent="0.35">
      <c r="B8" s="477" t="s">
        <v>103</v>
      </c>
      <c r="C8" s="119">
        <f>SUM(D8:E8, F8)</f>
        <v>0</v>
      </c>
      <c r="D8" s="128"/>
      <c r="E8" s="120"/>
      <c r="F8" s="120"/>
      <c r="G8" s="120"/>
      <c r="H8" s="99"/>
      <c r="I8" s="130" t="s">
        <v>32</v>
      </c>
      <c r="J8" s="131" t="s">
        <v>32</v>
      </c>
      <c r="K8" s="147" t="s">
        <v>32</v>
      </c>
      <c r="L8" s="148" t="s">
        <v>32</v>
      </c>
      <c r="M8" s="132" t="s">
        <v>32</v>
      </c>
      <c r="O8" s="500"/>
      <c r="P8" s="16"/>
      <c r="Q8" s="16"/>
      <c r="R8" s="16"/>
    </row>
    <row r="9" spans="2:18" ht="30" customHeight="1" thickBot="1" x14ac:dyDescent="0.35">
      <c r="B9" s="478"/>
      <c r="C9" s="505"/>
      <c r="D9" s="506"/>
      <c r="E9" s="506"/>
      <c r="F9" s="506"/>
      <c r="G9" s="506"/>
      <c r="H9" s="507"/>
      <c r="I9" s="509"/>
      <c r="J9" s="510"/>
      <c r="K9" s="509"/>
      <c r="L9" s="515"/>
      <c r="M9" s="510"/>
      <c r="O9" s="500"/>
      <c r="P9" s="16"/>
      <c r="Q9" s="16"/>
      <c r="R9" s="16"/>
    </row>
    <row r="10" spans="2:18" ht="43.5" customHeight="1" x14ac:dyDescent="0.3">
      <c r="B10" s="243" t="s">
        <v>232</v>
      </c>
      <c r="C10" s="244">
        <f>SUM(D10:E10, F10)</f>
        <v>2949</v>
      </c>
      <c r="D10" s="246">
        <f>VLOOKUP($C$3,bestand_ias,13,FALSE)</f>
        <v>1990</v>
      </c>
      <c r="E10" s="246">
        <f>VLOOKUP($C$3,bestand_ias,14,FALSE)</f>
        <v>959</v>
      </c>
      <c r="F10" s="246" t="s">
        <v>34</v>
      </c>
      <c r="G10" s="246">
        <f>VLOOKUP($C$3,bestand_ias,15,FALSE)</f>
        <v>1438</v>
      </c>
      <c r="H10" s="247">
        <f>VLOOKUP($C$3,bestand_ias,16,FALSE)</f>
        <v>1511</v>
      </c>
      <c r="I10" s="511"/>
      <c r="J10" s="512"/>
      <c r="K10" s="511"/>
      <c r="L10" s="516"/>
      <c r="M10" s="512"/>
      <c r="O10" s="500"/>
      <c r="P10" s="16"/>
      <c r="Q10" s="16"/>
      <c r="R10" s="16"/>
    </row>
    <row r="11" spans="2:18" ht="43.5" customHeight="1" thickBot="1" x14ac:dyDescent="0.35">
      <c r="B11" s="234" t="s">
        <v>233</v>
      </c>
      <c r="C11" s="235">
        <f>SUM(D11:E11, F11)</f>
        <v>3323</v>
      </c>
      <c r="D11" s="236">
        <f>VLOOKUP($C$3,bestand_alle,8,FALSE)</f>
        <v>2297</v>
      </c>
      <c r="E11" s="237">
        <f>VLOOKUP($C$3,bestand_alle,9,FALSE)</f>
        <v>1026</v>
      </c>
      <c r="F11" s="237" t="s">
        <v>34</v>
      </c>
      <c r="G11" s="237">
        <f>VLOOKUP($C$3,bestand_alle,11,FALSE)</f>
        <v>1659</v>
      </c>
      <c r="H11" s="238">
        <f>VLOOKUP($C$3,bestand_alle,12,FALSE)</f>
        <v>1664</v>
      </c>
      <c r="I11" s="513"/>
      <c r="J11" s="514"/>
      <c r="K11" s="513"/>
      <c r="L11" s="517"/>
      <c r="M11" s="514"/>
      <c r="O11" s="500"/>
      <c r="P11" s="16"/>
      <c r="Q11" s="16"/>
      <c r="R11" s="16"/>
    </row>
    <row r="12" spans="2:18" ht="14.15" customHeight="1" x14ac:dyDescent="0.3">
      <c r="B12" s="352"/>
      <c r="C12" s="163"/>
      <c r="D12" s="163"/>
      <c r="E12" s="163"/>
      <c r="F12" s="163"/>
      <c r="G12" s="163"/>
      <c r="H12" s="163"/>
      <c r="I12" s="163"/>
      <c r="J12" s="163"/>
      <c r="K12" s="164"/>
      <c r="L12" s="164"/>
      <c r="M12" s="164"/>
      <c r="O12" s="500"/>
      <c r="P12" s="16"/>
      <c r="Q12" s="16"/>
      <c r="R12" s="16"/>
    </row>
    <row r="13" spans="2:18" ht="14.15" customHeight="1" thickBot="1" x14ac:dyDescent="0.35">
      <c r="B13" s="162"/>
      <c r="C13" s="162"/>
      <c r="D13" s="162"/>
      <c r="E13" s="162"/>
      <c r="F13" s="162"/>
      <c r="G13" s="162"/>
      <c r="H13" s="162"/>
      <c r="I13" s="162"/>
      <c r="J13" s="162"/>
      <c r="K13" s="162"/>
      <c r="L13" s="162"/>
      <c r="M13" s="162"/>
      <c r="O13" s="500"/>
      <c r="P13" s="16"/>
      <c r="Q13" s="16"/>
      <c r="R13" s="16"/>
    </row>
    <row r="14" spans="2:18" ht="45" customHeight="1" thickBot="1" x14ac:dyDescent="0.35">
      <c r="B14" s="493" t="s">
        <v>121</v>
      </c>
      <c r="C14" s="494"/>
      <c r="D14" s="494"/>
      <c r="E14" s="494"/>
      <c r="F14" s="494"/>
      <c r="G14" s="494"/>
      <c r="H14" s="494"/>
      <c r="I14" s="494"/>
      <c r="J14" s="494"/>
      <c r="K14" s="494"/>
      <c r="L14" s="494"/>
      <c r="M14" s="495"/>
      <c r="N14" s="14"/>
      <c r="O14" s="500"/>
      <c r="P14" s="16"/>
      <c r="Q14" s="16"/>
      <c r="R14" s="16"/>
    </row>
    <row r="15" spans="2:18" ht="56.5" customHeight="1" x14ac:dyDescent="0.3">
      <c r="B15" s="168" t="s">
        <v>122</v>
      </c>
      <c r="C15" s="502" t="s">
        <v>191</v>
      </c>
      <c r="D15" s="462"/>
      <c r="E15" s="462"/>
      <c r="F15" s="462"/>
      <c r="G15" s="462"/>
      <c r="H15" s="462"/>
      <c r="I15" s="462"/>
      <c r="J15" s="462"/>
      <c r="K15" s="462"/>
      <c r="L15" s="462"/>
      <c r="M15" s="463"/>
      <c r="N15" s="12"/>
      <c r="O15" s="500"/>
      <c r="P15" s="16"/>
      <c r="Q15" s="16"/>
      <c r="R15" s="16"/>
    </row>
    <row r="16" spans="2:18" ht="140.25" customHeight="1" x14ac:dyDescent="0.3">
      <c r="B16" s="166" t="s">
        <v>55</v>
      </c>
      <c r="C16" s="503" t="s">
        <v>219</v>
      </c>
      <c r="D16" s="464"/>
      <c r="E16" s="464"/>
      <c r="F16" s="464"/>
      <c r="G16" s="464"/>
      <c r="H16" s="464"/>
      <c r="I16" s="464"/>
      <c r="J16" s="464"/>
      <c r="K16" s="464"/>
      <c r="L16" s="464"/>
      <c r="M16" s="465"/>
      <c r="N16" s="12"/>
      <c r="O16" s="500"/>
      <c r="P16" s="16"/>
      <c r="Q16" s="16"/>
      <c r="R16" s="16"/>
    </row>
    <row r="17" spans="2:18" ht="65.150000000000006" customHeight="1" thickBot="1" x14ac:dyDescent="0.35">
      <c r="B17" s="167" t="s">
        <v>123</v>
      </c>
      <c r="C17" s="504" t="s">
        <v>192</v>
      </c>
      <c r="D17" s="466"/>
      <c r="E17" s="466"/>
      <c r="F17" s="466"/>
      <c r="G17" s="466"/>
      <c r="H17" s="466"/>
      <c r="I17" s="466"/>
      <c r="J17" s="466"/>
      <c r="K17" s="466"/>
      <c r="L17" s="466"/>
      <c r="M17" s="467"/>
      <c r="N17" s="12"/>
      <c r="O17" s="501"/>
      <c r="P17" s="16"/>
      <c r="Q17" s="16"/>
      <c r="R17" s="16"/>
    </row>
    <row r="18" spans="2:18" ht="14.15" customHeight="1" x14ac:dyDescent="0.3">
      <c r="O18" s="1"/>
      <c r="P18" s="16"/>
      <c r="Q18" s="16"/>
      <c r="R18" s="16"/>
    </row>
    <row r="19" spans="2:18" ht="14.15" customHeight="1" x14ac:dyDescent="0.3"/>
    <row r="20" spans="2:18" ht="14.15" customHeight="1" x14ac:dyDescent="0.3"/>
    <row r="21" spans="2:18" ht="14.15" customHeight="1" x14ac:dyDescent="0.3">
      <c r="C21" s="17"/>
    </row>
    <row r="22" spans="2:18" ht="14.15" customHeight="1" x14ac:dyDescent="0.3"/>
    <row r="23" spans="2:18" ht="14.15" customHeight="1" x14ac:dyDescent="0.3"/>
    <row r="24" spans="2:18" ht="14.15" customHeight="1" x14ac:dyDescent="0.3"/>
    <row r="25" spans="2:18" ht="14.15" customHeight="1" x14ac:dyDescent="0.3"/>
    <row r="26" spans="2:18" ht="14.15" customHeight="1" x14ac:dyDescent="0.3"/>
    <row r="27" spans="2:18" ht="14.15" customHeight="1" x14ac:dyDescent="0.3"/>
    <row r="28" spans="2:18" ht="14.15" customHeight="1" x14ac:dyDescent="0.3"/>
    <row r="29" spans="2:18" ht="14.15" customHeight="1" x14ac:dyDescent="0.3"/>
    <row r="30" spans="2:18" ht="14.15" customHeight="1" x14ac:dyDescent="0.3"/>
    <row r="31" spans="2:18" ht="14.15" customHeight="1" x14ac:dyDescent="0.3"/>
    <row r="32" spans="2:18"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row r="47" ht="14.15" customHeight="1" x14ac:dyDescent="0.3"/>
    <row r="48" ht="14.15" customHeight="1" x14ac:dyDescent="0.3"/>
    <row r="49" ht="14.15" customHeight="1" x14ac:dyDescent="0.3"/>
    <row r="50" ht="14.15" customHeight="1" x14ac:dyDescent="0.3"/>
    <row r="51" ht="14.15" customHeight="1" x14ac:dyDescent="0.3"/>
    <row r="52" ht="14.15" customHeight="1" x14ac:dyDescent="0.3"/>
    <row r="53" ht="14.15" customHeight="1" x14ac:dyDescent="0.3"/>
    <row r="54" ht="14.15" customHeight="1" x14ac:dyDescent="0.3"/>
    <row r="55" ht="14.15" customHeight="1" x14ac:dyDescent="0.3"/>
    <row r="56" ht="14.15" customHeight="1" x14ac:dyDescent="0.3"/>
    <row r="57" ht="14.15" customHeight="1" x14ac:dyDescent="0.3"/>
    <row r="58" ht="14.15" customHeight="1" x14ac:dyDescent="0.3"/>
    <row r="59" ht="14.15" customHeight="1" x14ac:dyDescent="0.3"/>
    <row r="60" ht="14.15" customHeight="1" x14ac:dyDescent="0.3"/>
    <row r="61" ht="14.15" customHeight="1" x14ac:dyDescent="0.3"/>
    <row r="62" ht="14.15" customHeight="1" x14ac:dyDescent="0.3"/>
    <row r="63" ht="14.15" customHeight="1" x14ac:dyDescent="0.3"/>
    <row r="64" ht="14.15" customHeight="1" x14ac:dyDescent="0.3"/>
    <row r="65" ht="14.15" customHeight="1" x14ac:dyDescent="0.3"/>
    <row r="66" ht="14.15" customHeight="1" x14ac:dyDescent="0.3"/>
    <row r="67" ht="14.15" customHeight="1" x14ac:dyDescent="0.3"/>
    <row r="68" ht="14.15" customHeight="1" x14ac:dyDescent="0.3"/>
    <row r="69" ht="14.15" customHeight="1" x14ac:dyDescent="0.3"/>
  </sheetData>
  <sheetProtection algorithmName="SHA-512" hashValue="znWU6tk4Kwl316vWTZAME/qr302IAHbpqmVkdKE/AnxZ4uGgptF7eEjG1QGdatlsxl17Y6m1jvqCRkC6X7GHJg==" saltValue="pFXi45ZOossvN5ukNxql0A==" spinCount="100000" sheet="1" selectLockedCells="1"/>
  <protectedRanges>
    <protectedRange password="CAA2" sqref="C11 C12 C8:C9" name="Summe"/>
    <protectedRange password="CAA2" sqref="C10" name="Summe_1"/>
  </protectedRanges>
  <customSheetViews>
    <customSheetView guid="{168849A9-FED9-4458-942F-290616B3A25C}" showPageBreaks="1" showGridLines="0" fitToPage="1" printArea="1" topLeftCell="A7">
      <selection activeCell="C17" sqref="C17:M17"/>
      <pageMargins left="0.70866141732283472" right="0.70866141732283472" top="1.1811023622047245" bottom="0.78740157480314965" header="0.31496062992125984" footer="0.31496062992125984"/>
      <pageSetup paperSize="8" scale="63" fitToHeight="0" orientation="landscape" cellComments="atEnd" r:id="rId1"/>
      <headerFooter>
        <oddHeader>&amp;LKennzahlenraster KIP / IAS&amp;R&amp;G</oddHeader>
        <oddFooter>&amp;L&amp;A: Sprachniveau Erwachsene&amp;R&amp;P</oddFooter>
      </headerFooter>
    </customSheetView>
  </customSheetViews>
  <mergeCells count="15">
    <mergeCell ref="O7:O17"/>
    <mergeCell ref="B14:M14"/>
    <mergeCell ref="C15:M15"/>
    <mergeCell ref="C16:M16"/>
    <mergeCell ref="B1:M1"/>
    <mergeCell ref="C3:D3"/>
    <mergeCell ref="C4:D4"/>
    <mergeCell ref="C17:M17"/>
    <mergeCell ref="C9:H9"/>
    <mergeCell ref="B6:H6"/>
    <mergeCell ref="I6:J6"/>
    <mergeCell ref="K6:M6"/>
    <mergeCell ref="I9:J11"/>
    <mergeCell ref="K9:M11"/>
    <mergeCell ref="B8:B9"/>
  </mergeCells>
  <dataValidations count="6">
    <dataValidation type="date" allowBlank="1" showInputMessage="1" showErrorMessage="1" errorTitle="Data del rilevamento" error="Si prega di compilare" promptTitle="Data del rilevamento" prompt="Si prega di compilare" sqref="C4:D4" xr:uid="{00000000-0002-0000-0B00-000001000000}">
      <formula1>44927</formula1>
      <formula2>45291</formula2>
    </dataValidation>
    <dataValidation allowBlank="1" sqref="J7 C10:H11" xr:uid="{00000000-0002-0000-0B00-000002000000}"/>
    <dataValidation operator="greaterThanOrEqual" allowBlank="1" sqref="I7" xr:uid="{00000000-0002-0000-0B00-000003000000}"/>
    <dataValidation allowBlank="1" showInputMessage="1" showErrorMessage="1" errorTitle="Data del rilevamento" promptTitle="Data del rilevamento" sqref="K9:M11" xr:uid="{00000000-0002-0000-0B00-000005000000}"/>
    <dataValidation type="whole" operator="greaterThanOrEqual" allowBlank="1" showErrorMessage="1" errorTitle="Fehler" error="Gültig sind nur positive, ganze Zahlen (0, 200, etc.). Kein Text" promptTitle="Ganze Zahlen" prompt="Nur ganzzahlige Werte (0, 1, 200 etc.)" sqref="D12:J12" xr:uid="{00000000-0002-0000-0B00-000000000000}">
      <formula1>0</formula1>
    </dataValidation>
    <dataValidation type="whole" operator="greaterThanOrEqual" allowBlank="1" errorTitle="Fehler" error="Solo i numeri interi e positivi sono validi (0, 200, etc.). " promptTitle="Ganze Zahlen" prompt="Nur ganzzahlige Werte (0, 1, 200 etc.)" sqref="D8:H8" xr:uid="{00000000-0002-0000-0B00-000004000000}">
      <formula1>0</formula1>
    </dataValidation>
  </dataValidations>
  <pageMargins left="0.70866141732283472" right="0.70866141732283472" top="1.1811023622047245" bottom="0.78740157480314965" header="0.31496062992125984" footer="0.31496062992125984"/>
  <pageSetup paperSize="8" scale="59" fitToHeight="0" orientation="landscape" cellComments="atEnd" r:id="rId2"/>
  <headerFooter>
    <oddFooter>&amp;L&amp;A: Sprachniveau Erwachsene&amp;R&amp;P</oddFooter>
  </headerFooter>
  <extLst>
    <ext xmlns:x14="http://schemas.microsoft.com/office/spreadsheetml/2009/9/main" uri="{CCE6A557-97BC-4b89-ADB6-D9C93CAAB3DF}">
      <x14:dataValidations xmlns:xm="http://schemas.microsoft.com/office/excel/2006/main" count="3">
        <x14:dataValidation type="list" allowBlank="1" xr:uid="{00000000-0002-0000-0B00-000006000000}">
          <x14:formula1>
            <xm:f>Dropdownlisten!$C$9:$C$11</xm:f>
          </x14:formula1>
          <xm:sqref>K8:M8</xm:sqref>
        </x14:dataValidation>
        <x14:dataValidation type="list" xr:uid="{00000000-0002-0000-0B00-000007000000}">
          <x14:formula1>
            <xm:f>Dropdownlisten!$C$4:$C$6</xm:f>
          </x14:formula1>
          <xm:sqref>I8</xm:sqref>
        </x14:dataValidation>
        <x14:dataValidation type="list" xr:uid="{00000000-0002-0000-0B00-000008000000}">
          <x14:formula1>
            <xm:f>Dropdownlisten!$E$4:$E$6</xm:f>
          </x14:formula1>
          <xm:sqref>J8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13">
    <tabColor theme="3" tint="0.59999389629810485"/>
    <pageSetUpPr fitToPage="1"/>
  </sheetPr>
  <dimension ref="B1:M31"/>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0" width="15.83203125" style="13" customWidth="1"/>
    <col min="11" max="11" width="17.83203125" style="13" customWidth="1"/>
    <col min="12" max="12" width="2.5" style="13" customWidth="1"/>
    <col min="13" max="13" width="63.58203125" style="13" customWidth="1"/>
    <col min="14" max="14" width="2.08203125" style="13" customWidth="1"/>
    <col min="15" max="16384" width="11" style="13"/>
  </cols>
  <sheetData>
    <row r="1" spans="2:13" s="1" customFormat="1" ht="28" x14ac:dyDescent="0.6">
      <c r="B1" s="450" t="s">
        <v>148</v>
      </c>
      <c r="C1" s="450"/>
      <c r="D1" s="450"/>
      <c r="E1" s="450"/>
      <c r="F1" s="450"/>
      <c r="G1" s="450"/>
      <c r="H1" s="450"/>
      <c r="I1" s="450"/>
      <c r="J1" s="450"/>
      <c r="K1" s="450"/>
    </row>
    <row r="2" spans="2:13" s="1" customFormat="1" x14ac:dyDescent="0.3">
      <c r="B2" s="16"/>
      <c r="C2" s="16"/>
      <c r="D2" s="16"/>
      <c r="E2" s="16"/>
      <c r="F2" s="16"/>
      <c r="G2" s="16"/>
    </row>
    <row r="3" spans="2:13" s="1" customFormat="1" ht="28.5" customHeight="1" x14ac:dyDescent="0.3">
      <c r="B3" s="316" t="s">
        <v>42</v>
      </c>
      <c r="C3" s="452" t="str">
        <f>Indice!D4</f>
        <v>CH</v>
      </c>
      <c r="D3" s="452"/>
      <c r="E3" s="93"/>
      <c r="F3" s="93"/>
    </row>
    <row r="4" spans="2:13" s="1" customFormat="1" ht="28.5" customHeight="1" x14ac:dyDescent="0.3">
      <c r="B4" s="316" t="s">
        <v>51</v>
      </c>
      <c r="C4" s="451"/>
      <c r="D4" s="451"/>
      <c r="E4" s="93"/>
      <c r="F4" s="93"/>
      <c r="H4" s="94"/>
    </row>
    <row r="5" spans="2:13" ht="14.15" customHeight="1" thickBot="1" x14ac:dyDescent="0.35"/>
    <row r="6" spans="2:13" ht="45" customHeight="1" thickBot="1" x14ac:dyDescent="0.35">
      <c r="B6" s="453"/>
      <c r="C6" s="454"/>
      <c r="D6" s="454"/>
      <c r="E6" s="454"/>
      <c r="F6" s="454"/>
      <c r="G6" s="454"/>
      <c r="H6" s="454"/>
      <c r="I6" s="455"/>
      <c r="J6" s="437" t="s">
        <v>136</v>
      </c>
      <c r="K6" s="438"/>
      <c r="M6" s="67" t="s">
        <v>57</v>
      </c>
    </row>
    <row r="7" spans="2:13" s="16" customFormat="1" ht="66" customHeight="1" thickBot="1" x14ac:dyDescent="0.35">
      <c r="B7" s="160" t="s">
        <v>117</v>
      </c>
      <c r="C7" s="156" t="s">
        <v>56</v>
      </c>
      <c r="D7" s="157" t="s">
        <v>68</v>
      </c>
      <c r="E7" s="157" t="s">
        <v>118</v>
      </c>
      <c r="F7" s="157" t="s">
        <v>181</v>
      </c>
      <c r="G7" s="157" t="s">
        <v>70</v>
      </c>
      <c r="H7" s="158" t="s">
        <v>119</v>
      </c>
      <c r="I7" s="159" t="s">
        <v>120</v>
      </c>
      <c r="J7" s="325" t="s">
        <v>114</v>
      </c>
      <c r="K7" s="326" t="s">
        <v>115</v>
      </c>
      <c r="L7" s="13"/>
      <c r="M7" s="518"/>
    </row>
    <row r="8" spans="2:13" ht="60" customHeight="1" thickBot="1" x14ac:dyDescent="0.35">
      <c r="B8" s="477" t="s">
        <v>106</v>
      </c>
      <c r="C8" s="110">
        <f t="shared" ref="C8:C10" si="0">SUM(D8:E8, G8)</f>
        <v>0</v>
      </c>
      <c r="D8" s="128"/>
      <c r="E8" s="120"/>
      <c r="F8" s="120"/>
      <c r="G8" s="120"/>
      <c r="H8" s="120"/>
      <c r="I8" s="121"/>
      <c r="J8" s="131" t="s">
        <v>32</v>
      </c>
      <c r="K8" s="133" t="s">
        <v>32</v>
      </c>
      <c r="M8" s="519"/>
    </row>
    <row r="9" spans="2:13" ht="30" customHeight="1" thickBot="1" x14ac:dyDescent="0.35">
      <c r="B9" s="492"/>
      <c r="C9" s="521"/>
      <c r="D9" s="522"/>
      <c r="E9" s="522"/>
      <c r="F9" s="522"/>
      <c r="G9" s="522"/>
      <c r="H9" s="522"/>
      <c r="I9" s="523"/>
      <c r="J9" s="524"/>
      <c r="K9" s="525"/>
      <c r="M9" s="519"/>
    </row>
    <row r="10" spans="2:13" ht="43.5" customHeight="1" x14ac:dyDescent="0.3">
      <c r="B10" s="248" t="s">
        <v>232</v>
      </c>
      <c r="C10" s="249">
        <f t="shared" si="0"/>
        <v>7134</v>
      </c>
      <c r="D10" s="250">
        <f>VLOOKUP($C$3,bestand_ias,17,FALSE)</f>
        <v>5579</v>
      </c>
      <c r="E10" s="250">
        <f>VLOOKUP($C$3,bestand_ias,18,FALSE)</f>
        <v>1555</v>
      </c>
      <c r="F10" s="250">
        <f>VLOOKUP($C$3,bestand_ias,19,FALSE)</f>
        <v>3054</v>
      </c>
      <c r="G10" s="250" t="s">
        <v>34</v>
      </c>
      <c r="H10" s="250">
        <f>VLOOKUP($C$3,bestand_ias,20,FALSE)</f>
        <v>3506</v>
      </c>
      <c r="I10" s="251">
        <f>VLOOKUP($C$3,bestand_ias,21,FALSE)</f>
        <v>3628</v>
      </c>
      <c r="J10" s="526"/>
      <c r="K10" s="527"/>
      <c r="M10" s="519"/>
    </row>
    <row r="11" spans="2:13" ht="43.5" customHeight="1" thickBot="1" x14ac:dyDescent="0.35">
      <c r="B11" s="239" t="s">
        <v>231</v>
      </c>
      <c r="C11" s="230">
        <f>SUM(D11:E11, G11)</f>
        <v>8011</v>
      </c>
      <c r="D11" s="231">
        <f>VLOOKUP($C$3,bestand_alle,13,FALSE)</f>
        <v>6071</v>
      </c>
      <c r="E11" s="232">
        <f>VLOOKUP($C$3,bestand_alle,14,FALSE)</f>
        <v>1940</v>
      </c>
      <c r="F11" s="232">
        <f>VLOOKUP($C$3,bestand_alle,15,FALSE)</f>
        <v>3054</v>
      </c>
      <c r="G11" s="232" t="s">
        <v>34</v>
      </c>
      <c r="H11" s="232">
        <f>VLOOKUP($C$3,bestand_alle,16,FALSE)</f>
        <v>3927</v>
      </c>
      <c r="I11" s="233">
        <f>VLOOKUP($C$3,bestand_alle,17,FALSE)</f>
        <v>4084</v>
      </c>
      <c r="J11" s="528"/>
      <c r="K11" s="529"/>
      <c r="M11" s="519"/>
    </row>
    <row r="12" spans="2:13" ht="14.15" customHeight="1" x14ac:dyDescent="0.3">
      <c r="B12" s="352" t="s">
        <v>223</v>
      </c>
      <c r="M12" s="519"/>
    </row>
    <row r="13" spans="2:13" ht="14.15" customHeight="1" thickBot="1" x14ac:dyDescent="0.35">
      <c r="J13" s="12"/>
      <c r="K13" s="12"/>
      <c r="M13" s="519"/>
    </row>
    <row r="14" spans="2:13" ht="45" customHeight="1" thickBot="1" x14ac:dyDescent="0.35">
      <c r="B14" s="459" t="s">
        <v>121</v>
      </c>
      <c r="C14" s="460"/>
      <c r="D14" s="460"/>
      <c r="E14" s="460"/>
      <c r="F14" s="460"/>
      <c r="G14" s="460"/>
      <c r="H14" s="460"/>
      <c r="I14" s="460"/>
      <c r="J14" s="460"/>
      <c r="K14" s="461"/>
      <c r="L14" s="14"/>
      <c r="M14" s="519"/>
    </row>
    <row r="15" spans="2:13" ht="54.65" customHeight="1" x14ac:dyDescent="0.3">
      <c r="B15" s="165" t="s">
        <v>122</v>
      </c>
      <c r="C15" s="502" t="s">
        <v>193</v>
      </c>
      <c r="D15" s="462"/>
      <c r="E15" s="462"/>
      <c r="F15" s="462"/>
      <c r="G15" s="462"/>
      <c r="H15" s="462"/>
      <c r="I15" s="462"/>
      <c r="J15" s="462"/>
      <c r="K15" s="463"/>
      <c r="L15" s="12"/>
      <c r="M15" s="519"/>
    </row>
    <row r="16" spans="2:13" ht="52" customHeight="1" x14ac:dyDescent="0.3">
      <c r="B16" s="166" t="s">
        <v>55</v>
      </c>
      <c r="C16" s="503" t="s">
        <v>149</v>
      </c>
      <c r="D16" s="464"/>
      <c r="E16" s="464"/>
      <c r="F16" s="464"/>
      <c r="G16" s="464"/>
      <c r="H16" s="464"/>
      <c r="I16" s="464"/>
      <c r="J16" s="464"/>
      <c r="K16" s="465"/>
      <c r="L16" s="12"/>
      <c r="M16" s="519"/>
    </row>
    <row r="17" spans="2:13" ht="50.15" customHeight="1" thickBot="1" x14ac:dyDescent="0.35">
      <c r="B17" s="167" t="s">
        <v>123</v>
      </c>
      <c r="C17" s="504" t="s">
        <v>194</v>
      </c>
      <c r="D17" s="466"/>
      <c r="E17" s="466"/>
      <c r="F17" s="466"/>
      <c r="G17" s="466"/>
      <c r="H17" s="466"/>
      <c r="I17" s="466"/>
      <c r="J17" s="466"/>
      <c r="K17" s="467"/>
      <c r="L17" s="12"/>
      <c r="M17" s="520"/>
    </row>
    <row r="18" spans="2:13" ht="14.15" customHeight="1" x14ac:dyDescent="0.3"/>
    <row r="19" spans="2:13" ht="14.15" customHeight="1" x14ac:dyDescent="0.3"/>
    <row r="20" spans="2:13" ht="14.15" customHeight="1" x14ac:dyDescent="0.3"/>
    <row r="21" spans="2:13" ht="14.15" customHeight="1" x14ac:dyDescent="0.3">
      <c r="C21" s="17"/>
    </row>
    <row r="22" spans="2:13" ht="14.15" customHeight="1" x14ac:dyDescent="0.3"/>
    <row r="23" spans="2:13" ht="14.15" customHeight="1" x14ac:dyDescent="0.3"/>
    <row r="24" spans="2:13" ht="14.15" customHeight="1" x14ac:dyDescent="0.3"/>
    <row r="25" spans="2:13" ht="14.15" customHeight="1" x14ac:dyDescent="0.3"/>
    <row r="26" spans="2:13" ht="14.15" customHeight="1" x14ac:dyDescent="0.3"/>
    <row r="27" spans="2:13" ht="14.15" customHeight="1" x14ac:dyDescent="0.3"/>
    <row r="28" spans="2:13" ht="14.15" customHeight="1" x14ac:dyDescent="0.3"/>
    <row r="29" spans="2:13" ht="14.15" customHeight="1" x14ac:dyDescent="0.3"/>
    <row r="30" spans="2:13" ht="14.15" customHeight="1" x14ac:dyDescent="0.3"/>
    <row r="31" spans="2:13" ht="14.15" customHeight="1" x14ac:dyDescent="0.3"/>
  </sheetData>
  <sheetProtection algorithmName="SHA-512" hashValue="GtK1K74OwjvL6BHC+moa1kqDPDVKA4US6yEGZM2+zJkMfYftPGAqnSo0QzqOkDQXHXge4v50JHy2PHESfnR5nQ==" saltValue="Cq8QiN7d1HnCjdHfiqxK5w==" spinCount="100000" sheet="1" selectLockedCells="1"/>
  <protectedRanges>
    <protectedRange password="CAA2" sqref="C8:C11" name="Summe"/>
  </protectedRanges>
  <customSheetViews>
    <customSheetView guid="{168849A9-FED9-4458-942F-290616B3A25C}" scale="85" showPageBreaks="1" showGridLines="0" fitToPage="1" printArea="1" topLeftCell="A13">
      <selection activeCell="C17" sqref="C17:J17"/>
      <pageMargins left="0.70866141732283472" right="0.70866141732283472" top="1.1811023622047245" bottom="0.78740157480314965" header="0.31496062992125984" footer="0.31496062992125984"/>
      <pageSetup paperSize="8" scale="75" fitToHeight="0" orientation="landscape" cellComments="atEnd" r:id="rId1"/>
      <headerFooter>
        <oddHeader>&amp;LKennzahlenraster KIP / IAS&amp;R&amp;G</oddHeader>
        <oddFooter>&amp;L&amp;A: Sprachförderung Vorschulkinder&amp;R&amp;P</oddFooter>
      </headerFooter>
    </customSheetView>
  </customSheetViews>
  <mergeCells count="13">
    <mergeCell ref="B1:K1"/>
    <mergeCell ref="J6:K6"/>
    <mergeCell ref="M7:M17"/>
    <mergeCell ref="C3:D3"/>
    <mergeCell ref="C4:D4"/>
    <mergeCell ref="B8:B9"/>
    <mergeCell ref="B6:I6"/>
    <mergeCell ref="C16:K16"/>
    <mergeCell ref="C17:K17"/>
    <mergeCell ref="C9:I9"/>
    <mergeCell ref="B14:K14"/>
    <mergeCell ref="C15:K15"/>
    <mergeCell ref="J9:K11"/>
  </mergeCells>
  <dataValidations count="5">
    <dataValidation type="whole" operator="greaterThanOrEqual" allowBlank="1" showErrorMessage="1" errorTitle="Fehler" error="Solo i numeri interi e positivi sono validi (0, 200, etc.). " promptTitle="Ganze Zahlen" prompt="Nur ganzzahlige Werte (0, 1, 200 etc.)" sqref="D8:I8" xr:uid="{00000000-0002-0000-0C00-000000000000}">
      <formula1>0</formula1>
    </dataValidation>
    <dataValidation type="date" allowBlank="1" showInputMessage="1" showErrorMessage="1" errorTitle="Data del rilevamento" error="Si prega di compilare" promptTitle="Data del rilevamento" prompt="Si prega di compilare" sqref="C4:D4" xr:uid="{00000000-0002-0000-0C00-000001000000}">
      <formula1>44927</formula1>
      <formula2>45291</formula2>
    </dataValidation>
    <dataValidation operator="greaterThanOrEqual" allowBlank="1" sqref="J7:K7" xr:uid="{00000000-0002-0000-0C00-000002000000}"/>
    <dataValidation operator="greaterThanOrEqual" sqref="J9" xr:uid="{00000000-0002-0000-0C00-000003000000}"/>
    <dataValidation allowBlank="1" sqref="C10:I11" xr:uid="{00000000-0002-0000-0C00-000004000000}"/>
  </dataValidations>
  <pageMargins left="0.70866141732283472" right="0.70866141732283472" top="1.1811023622047245" bottom="0.78740157480314965" header="0.31496062992125984" footer="0.31496062992125984"/>
  <pageSetup paperSize="8" scale="77" fitToHeight="0" orientation="landscape" cellComments="atEnd" r:id="rId2"/>
  <headerFooter>
    <oddHeader>&amp;LKennzahlenraster KIP / IAS&amp;R&amp;G</oddHeader>
    <oddFooter>&amp;L&amp;A: Sprachförderung Vorschulkinder&amp;R&amp;P</oddFooter>
  </headerFooter>
  <legacyDrawingHF r:id="rId3"/>
  <extLst>
    <ext xmlns:x14="http://schemas.microsoft.com/office/spreadsheetml/2009/9/main" uri="{CCE6A557-97BC-4b89-ADB6-D9C93CAAB3DF}">
      <x14:dataValidations xmlns:xm="http://schemas.microsoft.com/office/excel/2006/main" count="2">
        <x14:dataValidation type="list" operator="greaterThanOrEqual" xr:uid="{00000000-0002-0000-0C00-000005000000}">
          <x14:formula1>
            <xm:f>Dropdownlisten!$C$4:$C$6</xm:f>
          </x14:formula1>
          <xm:sqref>J8</xm:sqref>
        </x14:dataValidation>
        <x14:dataValidation type="list" operator="greaterThanOrEqual" xr:uid="{00000000-0002-0000-0C00-000006000000}">
          <x14:formula1>
            <xm:f>Dropdownlisten!$E$4:$E$6</xm:f>
          </x14:formula1>
          <xm:sqref>K8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theme="3" tint="0.59999389629810485"/>
    <pageSetUpPr fitToPage="1"/>
  </sheetPr>
  <dimension ref="B1:N46"/>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1" width="15.83203125" style="13" customWidth="1"/>
    <col min="12" max="12" width="20.25" style="13" customWidth="1"/>
    <col min="13" max="13" width="2.58203125" style="13" customWidth="1"/>
    <col min="14" max="14" width="63.58203125" style="13" customWidth="1"/>
    <col min="15" max="16384" width="11" style="13"/>
  </cols>
  <sheetData>
    <row r="1" spans="2:14" s="1" customFormat="1" ht="28" x14ac:dyDescent="0.6">
      <c r="B1" s="450" t="s">
        <v>150</v>
      </c>
      <c r="C1" s="450"/>
      <c r="D1" s="450"/>
      <c r="E1" s="450"/>
      <c r="F1" s="450"/>
      <c r="G1" s="450"/>
      <c r="H1" s="450"/>
      <c r="I1" s="450"/>
      <c r="J1" s="450"/>
      <c r="K1" s="450"/>
      <c r="L1" s="280"/>
      <c r="M1" s="13"/>
      <c r="N1" s="13"/>
    </row>
    <row r="2" spans="2:14" s="1" customFormat="1" x14ac:dyDescent="0.3">
      <c r="B2" s="16"/>
      <c r="C2" s="16"/>
      <c r="D2" s="16"/>
      <c r="E2" s="16"/>
      <c r="F2" s="16"/>
      <c r="G2" s="16"/>
      <c r="M2" s="13"/>
    </row>
    <row r="3" spans="2:14" s="1" customFormat="1" ht="28.5" customHeight="1" x14ac:dyDescent="0.3">
      <c r="B3" s="316" t="s">
        <v>42</v>
      </c>
      <c r="C3" s="452" t="str">
        <f>Indice!D4</f>
        <v>CH</v>
      </c>
      <c r="D3" s="452"/>
      <c r="E3" s="93"/>
      <c r="F3" s="93"/>
      <c r="M3" s="13"/>
    </row>
    <row r="4" spans="2:14" s="1" customFormat="1" ht="28.5" customHeight="1" x14ac:dyDescent="0.3">
      <c r="B4" s="316" t="s">
        <v>51</v>
      </c>
      <c r="C4" s="451"/>
      <c r="D4" s="451"/>
      <c r="E4" s="93"/>
      <c r="F4" s="93"/>
      <c r="H4" s="94"/>
      <c r="M4" s="13"/>
    </row>
    <row r="5" spans="2:14" ht="14.15" customHeight="1" thickBot="1" x14ac:dyDescent="0.35"/>
    <row r="6" spans="2:14" ht="45" customHeight="1" thickBot="1" x14ac:dyDescent="0.35">
      <c r="B6" s="453"/>
      <c r="C6" s="454"/>
      <c r="D6" s="454"/>
      <c r="E6" s="454"/>
      <c r="F6" s="454"/>
      <c r="G6" s="454"/>
      <c r="H6" s="454"/>
      <c r="I6" s="455"/>
      <c r="J6" s="437" t="s">
        <v>136</v>
      </c>
      <c r="K6" s="438"/>
      <c r="L6" s="67" t="s">
        <v>137</v>
      </c>
      <c r="M6" s="290"/>
      <c r="N6" s="67" t="s">
        <v>57</v>
      </c>
    </row>
    <row r="7" spans="2:14" s="16" customFormat="1" ht="73.5" customHeight="1" thickBot="1" x14ac:dyDescent="0.35">
      <c r="B7" s="160" t="s">
        <v>117</v>
      </c>
      <c r="C7" s="156" t="s">
        <v>56</v>
      </c>
      <c r="D7" s="157" t="s">
        <v>68</v>
      </c>
      <c r="E7" s="157" t="s">
        <v>118</v>
      </c>
      <c r="F7" s="157" t="s">
        <v>181</v>
      </c>
      <c r="G7" s="157" t="s">
        <v>70</v>
      </c>
      <c r="H7" s="158" t="s">
        <v>119</v>
      </c>
      <c r="I7" s="169" t="s">
        <v>120</v>
      </c>
      <c r="J7" s="326" t="s">
        <v>114</v>
      </c>
      <c r="K7" s="326" t="s">
        <v>115</v>
      </c>
      <c r="L7" s="154" t="s">
        <v>138</v>
      </c>
      <c r="M7" s="291"/>
      <c r="N7" s="499"/>
    </row>
    <row r="8" spans="2:14" ht="58.5" customHeight="1" thickBot="1" x14ac:dyDescent="0.35">
      <c r="B8" s="310" t="s">
        <v>151</v>
      </c>
      <c r="C8" s="119">
        <f>SUM(D8:E8, G8)</f>
        <v>0</v>
      </c>
      <c r="D8" s="128"/>
      <c r="E8" s="120"/>
      <c r="F8" s="120"/>
      <c r="G8" s="120"/>
      <c r="H8" s="120"/>
      <c r="I8" s="129"/>
      <c r="J8" s="135" t="s">
        <v>32</v>
      </c>
      <c r="K8" s="134" t="s">
        <v>32</v>
      </c>
      <c r="L8" s="285" t="s">
        <v>32</v>
      </c>
      <c r="M8" s="292"/>
      <c r="N8" s="500"/>
    </row>
    <row r="9" spans="2:14" ht="43.5" customHeight="1" x14ac:dyDescent="0.3">
      <c r="B9" s="252" t="s">
        <v>232</v>
      </c>
      <c r="C9" s="244">
        <f t="shared" ref="C9:C10" si="0">SUM(D9:E9, G9)</f>
        <v>5563</v>
      </c>
      <c r="D9" s="245">
        <f>VLOOKUP($C$3,bestand_ias,22,FALSE)</f>
        <v>1804</v>
      </c>
      <c r="E9" s="245">
        <f>VLOOKUP($C$3,bestand_ias,23,FALSE)</f>
        <v>3759</v>
      </c>
      <c r="F9" s="245">
        <f>VLOOKUP($C$3,bestand_ias,24,FALSE)</f>
        <v>7019</v>
      </c>
      <c r="G9" s="246" t="s">
        <v>34</v>
      </c>
      <c r="H9" s="246">
        <f>VLOOKUP($C$3,bestand_ias,25,FALSE)</f>
        <v>1307</v>
      </c>
      <c r="I9" s="247">
        <f>VLOOKUP($C$3,bestand_ias,26,FALSE)</f>
        <v>4256</v>
      </c>
      <c r="J9" s="530"/>
      <c r="K9" s="531"/>
      <c r="L9" s="286"/>
      <c r="M9" s="293"/>
      <c r="N9" s="500"/>
    </row>
    <row r="10" spans="2:14" ht="43.5" customHeight="1" thickBot="1" x14ac:dyDescent="0.35">
      <c r="B10" s="239" t="s">
        <v>231</v>
      </c>
      <c r="C10" s="230">
        <f t="shared" si="0"/>
        <v>7319</v>
      </c>
      <c r="D10" s="231">
        <f>VLOOKUP($C$3,bestand_alle,18,FALSE)</f>
        <v>2562</v>
      </c>
      <c r="E10" s="231">
        <f>VLOOKUP($C$3,bestand_alle,19,FALSE)</f>
        <v>4757</v>
      </c>
      <c r="F10" s="231">
        <f>VLOOKUP($C$3,bestand_alle,20,FALSE)</f>
        <v>7019</v>
      </c>
      <c r="G10" s="232" t="s">
        <v>34</v>
      </c>
      <c r="H10" s="232">
        <f>VLOOKUP($C$3,bestand_alle,21,FALSE)</f>
        <v>1897</v>
      </c>
      <c r="I10" s="233">
        <f>VLOOKUP($C$3,bestand_alle,22,FALSE)</f>
        <v>5422</v>
      </c>
      <c r="J10" s="532"/>
      <c r="K10" s="533"/>
      <c r="L10" s="287"/>
      <c r="M10" s="293"/>
      <c r="N10" s="500"/>
    </row>
    <row r="11" spans="2:14" ht="14.15" customHeight="1" x14ac:dyDescent="0.3">
      <c r="B11" s="352" t="s">
        <v>223</v>
      </c>
      <c r="N11" s="500"/>
    </row>
    <row r="12" spans="2:14" ht="14.15" customHeight="1" thickBot="1" x14ac:dyDescent="0.35">
      <c r="J12" s="12"/>
      <c r="K12" s="12"/>
      <c r="L12" s="12"/>
      <c r="N12" s="500"/>
    </row>
    <row r="13" spans="2:14" ht="45" customHeight="1" thickBot="1" x14ac:dyDescent="0.35">
      <c r="B13" s="459" t="s">
        <v>121</v>
      </c>
      <c r="C13" s="460"/>
      <c r="D13" s="460"/>
      <c r="E13" s="460"/>
      <c r="F13" s="460"/>
      <c r="G13" s="460"/>
      <c r="H13" s="460"/>
      <c r="I13" s="460"/>
      <c r="J13" s="460"/>
      <c r="K13" s="460"/>
      <c r="L13" s="461"/>
      <c r="M13" s="14"/>
      <c r="N13" s="500"/>
    </row>
    <row r="14" spans="2:14" ht="35.25" customHeight="1" thickBot="1" x14ac:dyDescent="0.35">
      <c r="B14" s="168" t="s">
        <v>122</v>
      </c>
      <c r="C14" s="496" t="s">
        <v>220</v>
      </c>
      <c r="D14" s="497"/>
      <c r="E14" s="497"/>
      <c r="F14" s="497"/>
      <c r="G14" s="497"/>
      <c r="H14" s="497"/>
      <c r="I14" s="497"/>
      <c r="J14" s="497"/>
      <c r="K14" s="497"/>
      <c r="L14" s="498"/>
      <c r="M14" s="12"/>
      <c r="N14" s="500"/>
    </row>
    <row r="15" spans="2:14" ht="149.5" customHeight="1" thickBot="1" x14ac:dyDescent="0.35">
      <c r="B15" s="166" t="s">
        <v>55</v>
      </c>
      <c r="C15" s="496" t="s">
        <v>224</v>
      </c>
      <c r="D15" s="497"/>
      <c r="E15" s="497"/>
      <c r="F15" s="497"/>
      <c r="G15" s="497"/>
      <c r="H15" s="497"/>
      <c r="I15" s="497"/>
      <c r="J15" s="497"/>
      <c r="K15" s="497"/>
      <c r="L15" s="498"/>
      <c r="M15" s="12"/>
      <c r="N15" s="500"/>
    </row>
    <row r="16" spans="2:14" ht="46.5" customHeight="1" thickBot="1" x14ac:dyDescent="0.35">
      <c r="B16" s="167" t="s">
        <v>123</v>
      </c>
      <c r="C16" s="496" t="s">
        <v>195</v>
      </c>
      <c r="D16" s="497"/>
      <c r="E16" s="497"/>
      <c r="F16" s="497"/>
      <c r="G16" s="497"/>
      <c r="H16" s="497"/>
      <c r="I16" s="497"/>
      <c r="J16" s="497"/>
      <c r="K16" s="497"/>
      <c r="L16" s="498"/>
      <c r="M16" s="12"/>
      <c r="N16" s="501"/>
    </row>
    <row r="17" spans="3:3" ht="14.15" customHeight="1" x14ac:dyDescent="0.3"/>
    <row r="18" spans="3:3" ht="14.15" customHeight="1" x14ac:dyDescent="0.3"/>
    <row r="19" spans="3:3" ht="14.15" customHeight="1" x14ac:dyDescent="0.3"/>
    <row r="20" spans="3:3" ht="14.15" customHeight="1" x14ac:dyDescent="0.3">
      <c r="C20" s="17"/>
    </row>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row r="31" spans="3:3" ht="14.15" customHeight="1" x14ac:dyDescent="0.3"/>
    <row r="32" spans="3:3"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sheetData>
  <sheetProtection algorithmName="SHA-512" hashValue="+8XvWxAjfdPX3QVnxH68mBeMFSNVKDNycYWB8X5MBHJqeLNwJBsZGGNrJp17l6epoZSQdGry4mSUO6bvhW/7RQ==" saltValue="iw38A/Y9so6tLzpEEFAz2A==" spinCount="100000" sheet="1" selectLockedCells="1"/>
  <protectedRanges>
    <protectedRange password="CAA2" sqref="C8:C10" name="Summe"/>
  </protectedRanges>
  <customSheetViews>
    <customSheetView guid="{168849A9-FED9-4458-942F-290616B3A25C}" scale="70" showPageBreaks="1" showGridLines="0" fitToPage="1" printArea="1" topLeftCell="A10">
      <selection activeCell="I26" sqref="I26"/>
      <pageMargins left="0.70866141732283472" right="0.70866141732283472" top="1.1811023622047245" bottom="0.78740157480314965" header="0.31496062992125984" footer="0.31496062992125984"/>
      <pageSetup paperSize="8" scale="75" fitToHeight="0" orientation="landscape" cellComments="atEnd" r:id="rId1"/>
      <headerFooter>
        <oddHeader>&amp;LKennzahlenraster KIP / IAS&amp;R&amp;G</oddHeader>
        <oddFooter>&amp;L&amp;A: Förderung Ausbildungsfähigkeit (16-25-Jährige)&amp;R&amp;P</oddFooter>
      </headerFooter>
    </customSheetView>
  </customSheetViews>
  <mergeCells count="11">
    <mergeCell ref="N7:N16"/>
    <mergeCell ref="B13:L13"/>
    <mergeCell ref="C14:L14"/>
    <mergeCell ref="C15:L15"/>
    <mergeCell ref="C16:L16"/>
    <mergeCell ref="B1:K1"/>
    <mergeCell ref="C3:D3"/>
    <mergeCell ref="C4:D4"/>
    <mergeCell ref="J6:K6"/>
    <mergeCell ref="J9:K10"/>
    <mergeCell ref="B6:I6"/>
  </mergeCells>
  <dataValidations count="5">
    <dataValidation type="whole" operator="greaterThanOrEqual" allowBlank="1" showErrorMessage="1" errorTitle="Fehler" error="Solo i numeri interi e positivi sono validi (0, 200, etc.). " promptTitle="Ganze Zahlen" prompt="Nur ganzzahlige Werte (0, 1, 200 etc.)" sqref="D8:I8" xr:uid="{00000000-0002-0000-0D00-000000000000}">
      <formula1>0</formula1>
    </dataValidation>
    <dataValidation type="date" allowBlank="1" showInputMessage="1" showErrorMessage="1" errorTitle="Data del rilevamento" error="Si prega di compilare" promptTitle="Data del rilevamento" prompt="Si prega di compilare" sqref="C4:D4" xr:uid="{00000000-0002-0000-0D00-000001000000}">
      <formula1>44927</formula1>
      <formula2>45291</formula2>
    </dataValidation>
    <dataValidation allowBlank="1" sqref="C9:I10" xr:uid="{00000000-0002-0000-0D00-000002000000}"/>
    <dataValidation type="list" allowBlank="1" showInputMessage="1" showErrorMessage="1" sqref="L9:L10" xr:uid="{00000000-0002-0000-0D00-000003000000}">
      <formula1>$P$4:$P$5</formula1>
    </dataValidation>
    <dataValidation operator="greaterThanOrEqual" allowBlank="1" sqref="M7 J7:K7" xr:uid="{00000000-0002-0000-0D00-000004000000}"/>
  </dataValidations>
  <pageMargins left="0.70866141732283472" right="0.70866141732283472" top="1.1811023622047245" bottom="0.78740157480314965" header="0.31496062992125984" footer="0.31496062992125984"/>
  <pageSetup paperSize="8" scale="69" fitToHeight="0" orientation="landscape" cellComments="atEnd" r:id="rId2"/>
  <headerFooter>
    <oddHeader>&amp;LKennzahlenraster KIP / IAS&amp;R&amp;G</oddHeader>
    <oddFooter>&amp;L&amp;A: Förderung Ausbildungsfähigkeit (16-25-Jährige)&amp;R&amp;P</oddFooter>
  </headerFooter>
  <legacyDrawingHF r:id="rId3"/>
  <extLst>
    <ext xmlns:x14="http://schemas.microsoft.com/office/spreadsheetml/2009/9/main" uri="{CCE6A557-97BC-4b89-ADB6-D9C93CAAB3DF}">
      <x14:dataValidations xmlns:xm="http://schemas.microsoft.com/office/excel/2006/main" count="3">
        <x14:dataValidation type="list" operator="greaterThanOrEqual" xr:uid="{00000000-0002-0000-0D00-000005000000}">
          <x14:formula1>
            <xm:f>Dropdownlisten!$C$4:$C$6</xm:f>
          </x14:formula1>
          <xm:sqref>J8</xm:sqref>
        </x14:dataValidation>
        <x14:dataValidation type="list" operator="greaterThanOrEqual" xr:uid="{00000000-0002-0000-0D00-000006000000}">
          <x14:formula1>
            <xm:f>Dropdownlisten!$E$4:$E$6</xm:f>
          </x14:formula1>
          <xm:sqref>K8 M8</xm:sqref>
        </x14:dataValidation>
        <x14:dataValidation type="list" allowBlank="1" showInputMessage="1" showErrorMessage="1" xr:uid="{00000000-0002-0000-0D00-000007000000}">
          <x14:formula1>
            <xm:f>Dropdownlisten!$E$9:$E$11</xm:f>
          </x14:formula1>
          <xm:sqref>L8</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6">
    <tabColor theme="3" tint="0.59999389629810485"/>
    <pageSetUpPr fitToPage="1"/>
  </sheetPr>
  <dimension ref="B1:N38"/>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1" width="15.83203125" style="13" customWidth="1"/>
    <col min="12" max="12" width="20.25" style="13" customWidth="1"/>
    <col min="13" max="13" width="2.5" style="13" customWidth="1"/>
    <col min="14" max="14" width="63.58203125" style="13" customWidth="1"/>
    <col min="15" max="15" width="2.08203125" style="13" customWidth="1"/>
    <col min="16" max="16384" width="11" style="13"/>
  </cols>
  <sheetData>
    <row r="1" spans="2:14" s="1" customFormat="1" ht="28" x14ac:dyDescent="0.6">
      <c r="B1" s="539" t="s">
        <v>152</v>
      </c>
      <c r="C1" s="539"/>
      <c r="D1" s="539"/>
      <c r="E1" s="539"/>
      <c r="F1" s="539"/>
      <c r="G1" s="539"/>
      <c r="H1" s="539"/>
      <c r="I1" s="539"/>
      <c r="J1" s="539"/>
      <c r="K1" s="539"/>
      <c r="L1" s="280"/>
    </row>
    <row r="2" spans="2:14" s="1" customFormat="1" x14ac:dyDescent="0.3">
      <c r="B2" s="16"/>
      <c r="C2" s="16"/>
      <c r="D2" s="16"/>
      <c r="E2" s="16"/>
      <c r="F2" s="16"/>
      <c r="G2" s="16"/>
    </row>
    <row r="3" spans="2:14" s="1" customFormat="1" ht="28.5" customHeight="1" x14ac:dyDescent="0.3">
      <c r="B3" s="327" t="s">
        <v>42</v>
      </c>
      <c r="C3" s="452" t="str">
        <f>Indice!D4</f>
        <v>CH</v>
      </c>
      <c r="D3" s="452"/>
      <c r="E3" s="93"/>
      <c r="F3" s="93"/>
    </row>
    <row r="4" spans="2:14" s="1" customFormat="1" ht="28.5" customHeight="1" x14ac:dyDescent="0.3">
      <c r="B4" s="327" t="s">
        <v>51</v>
      </c>
      <c r="C4" s="451"/>
      <c r="D4" s="451"/>
      <c r="E4" s="93"/>
      <c r="F4" s="93"/>
      <c r="H4" s="94"/>
    </row>
    <row r="5" spans="2:14" ht="14.15" customHeight="1" thickBot="1" x14ac:dyDescent="0.35"/>
    <row r="6" spans="2:14" ht="45" customHeight="1" thickBot="1" x14ac:dyDescent="0.35">
      <c r="B6" s="534"/>
      <c r="C6" s="535"/>
      <c r="D6" s="535"/>
      <c r="E6" s="535"/>
      <c r="F6" s="535"/>
      <c r="G6" s="535"/>
      <c r="H6" s="535"/>
      <c r="I6" s="536"/>
      <c r="J6" s="537" t="s">
        <v>136</v>
      </c>
      <c r="K6" s="538"/>
      <c r="L6" s="67" t="s">
        <v>137</v>
      </c>
      <c r="N6" s="67" t="s">
        <v>57</v>
      </c>
    </row>
    <row r="7" spans="2:14" s="16" customFormat="1" ht="71.5" customHeight="1" thickBot="1" x14ac:dyDescent="0.35">
      <c r="B7" s="328" t="s">
        <v>117</v>
      </c>
      <c r="C7" s="329" t="s">
        <v>56</v>
      </c>
      <c r="D7" s="330" t="s">
        <v>68</v>
      </c>
      <c r="E7" s="330" t="s">
        <v>118</v>
      </c>
      <c r="F7" s="330" t="s">
        <v>181</v>
      </c>
      <c r="G7" s="330" t="s">
        <v>70</v>
      </c>
      <c r="H7" s="331" t="s">
        <v>119</v>
      </c>
      <c r="I7" s="332" t="s">
        <v>120</v>
      </c>
      <c r="J7" s="333" t="s">
        <v>114</v>
      </c>
      <c r="K7" s="333" t="s">
        <v>115</v>
      </c>
      <c r="L7" s="154" t="s">
        <v>138</v>
      </c>
      <c r="M7" s="13"/>
      <c r="N7" s="456"/>
    </row>
    <row r="8" spans="2:14" ht="61" customHeight="1" thickBot="1" x14ac:dyDescent="0.35">
      <c r="B8" s="311" t="s">
        <v>111</v>
      </c>
      <c r="C8" s="119">
        <f>SUM(D8:E8, G8)</f>
        <v>0</v>
      </c>
      <c r="D8" s="128"/>
      <c r="E8" s="120"/>
      <c r="F8" s="120"/>
      <c r="G8" s="120"/>
      <c r="H8" s="120"/>
      <c r="I8" s="121"/>
      <c r="J8" s="135" t="s">
        <v>32</v>
      </c>
      <c r="K8" s="134" t="s">
        <v>32</v>
      </c>
      <c r="L8" s="285" t="s">
        <v>32</v>
      </c>
      <c r="N8" s="457"/>
    </row>
    <row r="9" spans="2:14" ht="43.5" customHeight="1" x14ac:dyDescent="0.3">
      <c r="B9" s="334" t="s">
        <v>232</v>
      </c>
      <c r="C9" s="244">
        <f>SUM(D9:E9, G9)</f>
        <v>11007</v>
      </c>
      <c r="D9" s="253">
        <f>VLOOKUP($C$3,bestand_ias,27,FALSE)</f>
        <v>7842</v>
      </c>
      <c r="E9" s="246">
        <f>VLOOKUP($C$3,bestand_ias,28,FALSE)</f>
        <v>3165</v>
      </c>
      <c r="F9" s="246">
        <f>VLOOKUP($C$3,bestand_ias,29,FALSE)</f>
        <v>27016</v>
      </c>
      <c r="G9" s="246" t="s">
        <v>34</v>
      </c>
      <c r="H9" s="245">
        <f>VLOOKUP($C$3,bestand_ias,30,FALSE)</f>
        <v>5361</v>
      </c>
      <c r="I9" s="254">
        <f>VLOOKUP($C$3,bestand_ias,31,FALSE)</f>
        <v>5646</v>
      </c>
      <c r="J9" s="530"/>
      <c r="K9" s="531"/>
      <c r="L9" s="286"/>
      <c r="N9" s="457"/>
    </row>
    <row r="10" spans="2:14" ht="43.5" customHeight="1" thickBot="1" x14ac:dyDescent="0.35">
      <c r="B10" s="335" t="s">
        <v>231</v>
      </c>
      <c r="C10" s="230">
        <f>SUM(D10:E10, G10)</f>
        <v>15860</v>
      </c>
      <c r="D10" s="240">
        <f>VLOOKUP($C$3,bestand_alle,23,FALSE)</f>
        <v>11404</v>
      </c>
      <c r="E10" s="240">
        <f>VLOOKUP($C$3,bestand_alle,24,FALSE)</f>
        <v>4456</v>
      </c>
      <c r="F10" s="232">
        <f>VLOOKUP($C$3,bestand_alle,25,FALSE)</f>
        <v>27016</v>
      </c>
      <c r="G10" s="232" t="s">
        <v>34</v>
      </c>
      <c r="H10" s="231">
        <f>VLOOKUP($C$3,bestand_alle,26,FALSE)</f>
        <v>8211</v>
      </c>
      <c r="I10" s="241">
        <f>VLOOKUP($C$3,bestand_alle,27,FALSE)</f>
        <v>7649</v>
      </c>
      <c r="J10" s="532"/>
      <c r="K10" s="533"/>
      <c r="L10" s="287"/>
      <c r="N10" s="457"/>
    </row>
    <row r="11" spans="2:14" x14ac:dyDescent="0.3">
      <c r="B11" s="352" t="s">
        <v>223</v>
      </c>
      <c r="M11" s="14"/>
      <c r="N11" s="457"/>
    </row>
    <row r="12" spans="2:14" ht="14.5" thickBot="1" x14ac:dyDescent="0.35">
      <c r="M12" s="14"/>
      <c r="N12" s="457"/>
    </row>
    <row r="13" spans="2:14" ht="45" customHeight="1" thickBot="1" x14ac:dyDescent="0.35">
      <c r="B13" s="459" t="s">
        <v>121</v>
      </c>
      <c r="C13" s="460"/>
      <c r="D13" s="460"/>
      <c r="E13" s="460"/>
      <c r="F13" s="460"/>
      <c r="G13" s="460"/>
      <c r="H13" s="460"/>
      <c r="I13" s="460"/>
      <c r="J13" s="460"/>
      <c r="K13" s="460"/>
      <c r="L13" s="461"/>
      <c r="M13" s="12"/>
      <c r="N13" s="457"/>
    </row>
    <row r="14" spans="2:14" ht="57" customHeight="1" thickBot="1" x14ac:dyDescent="0.35">
      <c r="B14" s="336" t="s">
        <v>122</v>
      </c>
      <c r="C14" s="496" t="s">
        <v>221</v>
      </c>
      <c r="D14" s="497"/>
      <c r="E14" s="497"/>
      <c r="F14" s="497"/>
      <c r="G14" s="497"/>
      <c r="H14" s="497"/>
      <c r="I14" s="497"/>
      <c r="J14" s="497"/>
      <c r="K14" s="497"/>
      <c r="L14" s="498"/>
      <c r="M14" s="12"/>
      <c r="N14" s="457"/>
    </row>
    <row r="15" spans="2:14" ht="164.5" customHeight="1" thickBot="1" x14ac:dyDescent="0.35">
      <c r="B15" s="337" t="s">
        <v>55</v>
      </c>
      <c r="C15" s="496" t="s">
        <v>225</v>
      </c>
      <c r="D15" s="497"/>
      <c r="E15" s="497"/>
      <c r="F15" s="497"/>
      <c r="G15" s="497"/>
      <c r="H15" s="497"/>
      <c r="I15" s="497"/>
      <c r="J15" s="497"/>
      <c r="K15" s="497"/>
      <c r="L15" s="498"/>
      <c r="N15" s="457"/>
    </row>
    <row r="16" spans="2:14" ht="55" customHeight="1" thickBot="1" x14ac:dyDescent="0.35">
      <c r="B16" s="338" t="s">
        <v>123</v>
      </c>
      <c r="C16" s="496" t="s">
        <v>196</v>
      </c>
      <c r="D16" s="497"/>
      <c r="E16" s="497"/>
      <c r="F16" s="497"/>
      <c r="G16" s="497"/>
      <c r="H16" s="497"/>
      <c r="I16" s="497"/>
      <c r="J16" s="497"/>
      <c r="K16" s="497"/>
      <c r="L16" s="498"/>
      <c r="N16" s="458"/>
    </row>
    <row r="17" spans="3:12" ht="14.15" customHeight="1" x14ac:dyDescent="0.3">
      <c r="J17" s="12"/>
      <c r="K17" s="12"/>
      <c r="L17" s="12"/>
    </row>
    <row r="18" spans="3:12" ht="14.15" customHeight="1" x14ac:dyDescent="0.3"/>
    <row r="19" spans="3:12" ht="14.15" customHeight="1" x14ac:dyDescent="0.3"/>
    <row r="20" spans="3:12" ht="14.15" customHeight="1" x14ac:dyDescent="0.3">
      <c r="C20" s="17"/>
    </row>
    <row r="21" spans="3:12" ht="14.15" customHeight="1" x14ac:dyDescent="0.3"/>
    <row r="22" spans="3:12" ht="14.15" customHeight="1" x14ac:dyDescent="0.3"/>
    <row r="23" spans="3:12" ht="14.15" customHeight="1" x14ac:dyDescent="0.3"/>
    <row r="24" spans="3:12" ht="14.15" customHeight="1" x14ac:dyDescent="0.3"/>
    <row r="25" spans="3:12" ht="14.15" customHeight="1" x14ac:dyDescent="0.3"/>
    <row r="26" spans="3:12" ht="14.15" customHeight="1" x14ac:dyDescent="0.3"/>
    <row r="27" spans="3:12" ht="14.15" customHeight="1" x14ac:dyDescent="0.3"/>
    <row r="28" spans="3:12" ht="14.15" customHeight="1" x14ac:dyDescent="0.3"/>
    <row r="29" spans="3:12" ht="14.15" customHeight="1" x14ac:dyDescent="0.3"/>
    <row r="30" spans="3:12" ht="14.15" customHeight="1" x14ac:dyDescent="0.3"/>
    <row r="31" spans="3:12" ht="14.15" customHeight="1" x14ac:dyDescent="0.3"/>
    <row r="32" spans="3: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sheetData>
  <sheetProtection algorithmName="SHA-512" hashValue="btUCIMAOgMCKWS2SpdBubLUreD/U4QSTk2JInihbfUIWEL9NoCivW+OLEpFaoauEXG7S/sLNcUpZeq4sHCrnNg==" saltValue="ZUYSPrwNbKUW5jIKT2l9JQ==" spinCount="100000" sheet="1" selectLockedCells="1"/>
  <protectedRanges>
    <protectedRange password="CAA2" sqref="C8" name="Summe"/>
    <protectedRange password="CAA2" sqref="C9:C10" name="Summe_4"/>
  </protectedRanges>
  <customSheetViews>
    <customSheetView guid="{168849A9-FED9-4458-942F-290616B3A25C}" scale="50" showPageBreaks="1" showGridLines="0" fitToPage="1" printArea="1" topLeftCell="A13">
      <selection activeCell="L57" sqref="L57"/>
      <pageMargins left="0.70866141732283472" right="0.70866141732283472" top="1.1811023622047245" bottom="0.78740157480314965" header="0.31496062992125984" footer="0.31496062992125984"/>
      <pageSetup paperSize="8" scale="75" fitToHeight="0" orientation="landscape" cellComments="atEnd" r:id="rId1"/>
      <headerFooter>
        <oddHeader>&amp;LKennzahlenraster KIP / IAS&amp;R&amp;G</oddHeader>
        <oddFooter>&amp;L&amp;A: Förderung Arbeitsfähigkeit (26-55-Jährige)&amp;R&amp;P</oddFooter>
      </headerFooter>
    </customSheetView>
  </customSheetViews>
  <mergeCells count="11">
    <mergeCell ref="N7:N16"/>
    <mergeCell ref="J9:K10"/>
    <mergeCell ref="B13:L13"/>
    <mergeCell ref="C14:L14"/>
    <mergeCell ref="C15:L15"/>
    <mergeCell ref="C16:L16"/>
    <mergeCell ref="C3:D3"/>
    <mergeCell ref="C4:D4"/>
    <mergeCell ref="B6:I6"/>
    <mergeCell ref="J6:K6"/>
    <mergeCell ref="B1:K1"/>
  </mergeCells>
  <dataValidations xWindow="533" yWindow="628" count="5">
    <dataValidation type="whole" operator="greaterThanOrEqual" allowBlank="1" showErrorMessage="1" errorTitle="Fehler" error="Solo i numeri interi e positivi sono validi (0, 200, etc.). " promptTitle="Ganze Zahlen" prompt="Nur ganzzahlige Werte (0, 1, 200 etc.)" sqref="D8:I8" xr:uid="{00000000-0002-0000-0E00-000000000000}">
      <formula1>0</formula1>
    </dataValidation>
    <dataValidation type="date" allowBlank="1" showInputMessage="1" showErrorMessage="1" errorTitle="Data del rilevamento" error="Si prega di compilare" promptTitle="Data del rilevamento" prompt="Si prega di compilare" sqref="C4:D4" xr:uid="{00000000-0002-0000-0E00-000001000000}">
      <formula1>44927</formula1>
      <formula2>45291</formula2>
    </dataValidation>
    <dataValidation operator="greaterThanOrEqual" allowBlank="1" sqref="J7:K7" xr:uid="{00000000-0002-0000-0E00-000002000000}"/>
    <dataValidation allowBlank="1" sqref="C9:I10" xr:uid="{00000000-0002-0000-0E00-000003000000}"/>
    <dataValidation type="list" allowBlank="1" showInputMessage="1" showErrorMessage="1" sqref="L9:L10" xr:uid="{00000000-0002-0000-0E00-000004000000}">
      <formula1>$P$4:$P$5</formula1>
    </dataValidation>
  </dataValidations>
  <pageMargins left="0.70866141732283472" right="0.70866141732283472" top="1.1811023622047245" bottom="0.78740157480314965" header="0.31496062992125984" footer="0.31496062992125984"/>
  <pageSetup paperSize="8" scale="69" fitToHeight="0" orientation="landscape" cellComments="atEnd" r:id="rId2"/>
  <headerFooter>
    <oddFooter>&amp;L&amp;A: Förderung Arbeitsfähigkeit (26-55-Jährige)&amp;R&amp;P</oddFooter>
  </headerFooter>
  <extLst>
    <ext xmlns:x14="http://schemas.microsoft.com/office/spreadsheetml/2009/9/main" uri="{CCE6A557-97BC-4b89-ADB6-D9C93CAAB3DF}">
      <x14:dataValidations xmlns:xm="http://schemas.microsoft.com/office/excel/2006/main" xWindow="533" yWindow="628" count="3">
        <x14:dataValidation type="list" operator="greaterThanOrEqual" xr:uid="{00000000-0002-0000-0E00-000005000000}">
          <x14:formula1>
            <xm:f>Dropdownlisten!$C$4:$C$6</xm:f>
          </x14:formula1>
          <xm:sqref>J8</xm:sqref>
        </x14:dataValidation>
        <x14:dataValidation type="list" operator="greaterThanOrEqual" xr:uid="{00000000-0002-0000-0E00-000006000000}">
          <x14:formula1>
            <xm:f>Dropdownlisten!$E$4:$E$6</xm:f>
          </x14:formula1>
          <xm:sqref>K8</xm:sqref>
        </x14:dataValidation>
        <x14:dataValidation type="list" allowBlank="1" showInputMessage="1" showErrorMessage="1" xr:uid="{00000000-0002-0000-0E00-000007000000}">
          <x14:formula1>
            <xm:f>Dropdownlisten!$E$9:$E$11</xm:f>
          </x14:formula1>
          <xm:sqref>L8</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17">
    <tabColor theme="3" tint="0.59999389629810485"/>
    <pageSetUpPr fitToPage="1"/>
  </sheetPr>
  <dimension ref="B1:M29"/>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11" width="15.83203125" style="13" customWidth="1"/>
    <col min="12" max="12" width="2.5" style="13" customWidth="1"/>
    <col min="13" max="13" width="63.58203125" style="13" customWidth="1"/>
    <col min="14" max="14" width="2.08203125" style="13" customWidth="1"/>
    <col min="15" max="16384" width="11" style="13"/>
  </cols>
  <sheetData>
    <row r="1" spans="2:13" s="1" customFormat="1" ht="28" x14ac:dyDescent="0.6">
      <c r="B1" s="450" t="s">
        <v>153</v>
      </c>
      <c r="C1" s="450"/>
      <c r="D1" s="450"/>
      <c r="E1" s="450"/>
      <c r="F1" s="450"/>
      <c r="G1" s="450"/>
      <c r="H1" s="450"/>
      <c r="I1" s="450"/>
      <c r="J1" s="450"/>
      <c r="K1" s="450"/>
    </row>
    <row r="2" spans="2:13" s="1" customFormat="1" x14ac:dyDescent="0.3">
      <c r="B2" s="16"/>
      <c r="C2" s="16"/>
      <c r="D2" s="16"/>
      <c r="E2" s="16"/>
      <c r="F2" s="16"/>
      <c r="G2" s="16"/>
    </row>
    <row r="3" spans="2:13" s="1" customFormat="1" ht="28.5" customHeight="1" x14ac:dyDescent="0.3">
      <c r="B3" s="316" t="s">
        <v>42</v>
      </c>
      <c r="C3" s="452" t="str">
        <f>Indice!D4</f>
        <v>CH</v>
      </c>
      <c r="D3" s="452"/>
      <c r="E3" s="93"/>
      <c r="F3" s="93"/>
    </row>
    <row r="4" spans="2:13" s="1" customFormat="1" ht="28.5" customHeight="1" x14ac:dyDescent="0.3">
      <c r="B4" s="316" t="s">
        <v>51</v>
      </c>
      <c r="C4" s="451"/>
      <c r="D4" s="451"/>
      <c r="E4" s="93"/>
      <c r="F4" s="93"/>
      <c r="H4" s="94"/>
    </row>
    <row r="5" spans="2:13" ht="14.15" customHeight="1" thickBot="1" x14ac:dyDescent="0.35"/>
    <row r="6" spans="2:13" ht="45" customHeight="1" thickBot="1" x14ac:dyDescent="0.35">
      <c r="B6" s="453"/>
      <c r="C6" s="454"/>
      <c r="D6" s="454"/>
      <c r="E6" s="454"/>
      <c r="F6" s="454"/>
      <c r="G6" s="454"/>
      <c r="H6" s="454"/>
      <c r="I6" s="455"/>
      <c r="J6" s="437" t="s">
        <v>136</v>
      </c>
      <c r="K6" s="438"/>
      <c r="M6" s="67" t="s">
        <v>57</v>
      </c>
    </row>
    <row r="7" spans="2:13" s="16" customFormat="1" ht="63.65" customHeight="1" thickBot="1" x14ac:dyDescent="0.35">
      <c r="B7" s="160" t="s">
        <v>117</v>
      </c>
      <c r="C7" s="156" t="s">
        <v>56</v>
      </c>
      <c r="D7" s="157" t="s">
        <v>68</v>
      </c>
      <c r="E7" s="157" t="s">
        <v>118</v>
      </c>
      <c r="F7" s="157" t="s">
        <v>181</v>
      </c>
      <c r="G7" s="157" t="s">
        <v>70</v>
      </c>
      <c r="H7" s="158" t="s">
        <v>119</v>
      </c>
      <c r="I7" s="159" t="s">
        <v>120</v>
      </c>
      <c r="J7" s="326" t="s">
        <v>114</v>
      </c>
      <c r="K7" s="326" t="s">
        <v>115</v>
      </c>
      <c r="L7" s="13"/>
      <c r="M7" s="456"/>
    </row>
    <row r="8" spans="2:13" ht="75" customHeight="1" thickBot="1" x14ac:dyDescent="0.35">
      <c r="B8" s="310" t="s">
        <v>113</v>
      </c>
      <c r="C8" s="119">
        <f>SUM(D8:E8, G8)</f>
        <v>0</v>
      </c>
      <c r="D8" s="128"/>
      <c r="E8" s="120"/>
      <c r="F8" s="120"/>
      <c r="G8" s="120"/>
      <c r="H8" s="120"/>
      <c r="I8" s="121"/>
      <c r="J8" s="135" t="s">
        <v>32</v>
      </c>
      <c r="K8" s="134" t="s">
        <v>32</v>
      </c>
      <c r="M8" s="457"/>
    </row>
    <row r="9" spans="2:13" ht="43.5" customHeight="1" x14ac:dyDescent="0.3">
      <c r="B9" s="243" t="s">
        <v>232</v>
      </c>
      <c r="C9" s="244">
        <f>SUM(D9:E9, G9)</f>
        <v>18759</v>
      </c>
      <c r="D9" s="245">
        <f>VLOOKUP($C$3,bestand_ias,32,FALSE)</f>
        <v>10682</v>
      </c>
      <c r="E9" s="246">
        <f>VLOOKUP($C$3,bestand_ias,33,FALSE)</f>
        <v>8077</v>
      </c>
      <c r="F9" s="246">
        <f>VLOOKUP($C$3,bestand_ias,34,FALSE)</f>
        <v>45186</v>
      </c>
      <c r="G9" s="246" t="s">
        <v>34</v>
      </c>
      <c r="H9" s="246">
        <f>VLOOKUP($C$3,bestand_ias,35,FALSE)</f>
        <v>7488</v>
      </c>
      <c r="I9" s="247">
        <f>VLOOKUP($C$3,bestand_ias,36,FALSE)</f>
        <v>11271</v>
      </c>
      <c r="J9" s="530"/>
      <c r="K9" s="531"/>
      <c r="M9" s="457"/>
    </row>
    <row r="10" spans="2:13" ht="43.5" customHeight="1" thickBot="1" x14ac:dyDescent="0.35">
      <c r="B10" s="242" t="s">
        <v>231</v>
      </c>
      <c r="C10" s="235">
        <f>SUM(D10:E10, G10)</f>
        <v>27615</v>
      </c>
      <c r="D10" s="236">
        <f>VLOOKUP($C$3,bestand_alle,28,FALSE)</f>
        <v>16349</v>
      </c>
      <c r="E10" s="237">
        <f>VLOOKUP($C$3,bestand_alle,29,FALSE)</f>
        <v>11266</v>
      </c>
      <c r="F10" s="237">
        <f>VLOOKUP($C$3,bestand_alle,30,FALSE)</f>
        <v>45186</v>
      </c>
      <c r="G10" s="237" t="s">
        <v>34</v>
      </c>
      <c r="H10" s="237">
        <f>VLOOKUP($C$3,bestand_alle,31,FALSE)</f>
        <v>11815</v>
      </c>
      <c r="I10" s="238">
        <f>VLOOKUP($C$3,bestand_alle,32,FALSE)</f>
        <v>15800</v>
      </c>
      <c r="J10" s="532"/>
      <c r="K10" s="533"/>
      <c r="M10" s="457"/>
    </row>
    <row r="11" spans="2:13" ht="14.15" customHeight="1" thickTop="1" x14ac:dyDescent="0.3">
      <c r="B11" s="352" t="s">
        <v>223</v>
      </c>
      <c r="C11" s="177"/>
      <c r="M11" s="457"/>
    </row>
    <row r="12" spans="2:13" ht="14.15" customHeight="1" thickBot="1" x14ac:dyDescent="0.35">
      <c r="J12" s="12"/>
      <c r="K12" s="12"/>
      <c r="M12" s="457"/>
    </row>
    <row r="13" spans="2:13" ht="45" customHeight="1" thickBot="1" x14ac:dyDescent="0.35">
      <c r="B13" s="459" t="s">
        <v>121</v>
      </c>
      <c r="C13" s="460"/>
      <c r="D13" s="460"/>
      <c r="E13" s="460"/>
      <c r="F13" s="460"/>
      <c r="G13" s="460"/>
      <c r="H13" s="460"/>
      <c r="I13" s="460"/>
      <c r="J13" s="460"/>
      <c r="K13" s="461"/>
      <c r="L13" s="14"/>
      <c r="M13" s="457"/>
    </row>
    <row r="14" spans="2:13" ht="37.5" customHeight="1" x14ac:dyDescent="0.3">
      <c r="B14" s="168" t="s">
        <v>122</v>
      </c>
      <c r="C14" s="502" t="s">
        <v>197</v>
      </c>
      <c r="D14" s="462"/>
      <c r="E14" s="462"/>
      <c r="F14" s="462"/>
      <c r="G14" s="462"/>
      <c r="H14" s="462"/>
      <c r="I14" s="462"/>
      <c r="J14" s="462"/>
      <c r="K14" s="463"/>
      <c r="L14" s="12"/>
      <c r="M14" s="457"/>
    </row>
    <row r="15" spans="2:13" ht="58" customHeight="1" x14ac:dyDescent="0.3">
      <c r="B15" s="166" t="s">
        <v>55</v>
      </c>
      <c r="C15" s="503" t="s">
        <v>154</v>
      </c>
      <c r="D15" s="464"/>
      <c r="E15" s="464"/>
      <c r="F15" s="464"/>
      <c r="G15" s="464"/>
      <c r="H15" s="464"/>
      <c r="I15" s="464"/>
      <c r="J15" s="464"/>
      <c r="K15" s="465"/>
      <c r="L15" s="12"/>
      <c r="M15" s="457"/>
    </row>
    <row r="16" spans="2:13" ht="50.15" customHeight="1" thickBot="1" x14ac:dyDescent="0.35">
      <c r="B16" s="167" t="s">
        <v>123</v>
      </c>
      <c r="C16" s="504" t="s">
        <v>198</v>
      </c>
      <c r="D16" s="466"/>
      <c r="E16" s="466"/>
      <c r="F16" s="466"/>
      <c r="G16" s="466"/>
      <c r="H16" s="466"/>
      <c r="I16" s="466"/>
      <c r="J16" s="466"/>
      <c r="K16" s="467"/>
      <c r="L16" s="12"/>
      <c r="M16" s="458"/>
    </row>
    <row r="17" spans="3:3" ht="14.15" customHeight="1" x14ac:dyDescent="0.3"/>
    <row r="18" spans="3:3" ht="14.15" customHeight="1" x14ac:dyDescent="0.3"/>
    <row r="19" spans="3:3" ht="14.15" customHeight="1" x14ac:dyDescent="0.3"/>
    <row r="20" spans="3:3" ht="14.15" customHeight="1" x14ac:dyDescent="0.3">
      <c r="C20" s="17"/>
    </row>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sheetData>
  <sheetProtection algorithmName="SHA-512" hashValue="vWG5GEmapYqlL5VjzW/y0KopmCaObAbK9OOAqCSbebD8LkX5+/FDcagiBiDHAWHI1z+z9S48vKbprjz0Vb+U5w==" saltValue="6eZN29P8U+rpSWQ0AVgF2g==" spinCount="100000" sheet="1" selectLockedCells="1"/>
  <protectedRanges>
    <protectedRange password="CAA2" sqref="C8:C10" name="Summe"/>
  </protectedRanges>
  <customSheetViews>
    <customSheetView guid="{168849A9-FED9-4458-942F-290616B3A25C}" scale="50" showGridLines="0" fitToPage="1">
      <selection activeCell="C15" sqref="C15:J15"/>
      <pageMargins left="0.70866141732283472" right="0.70866141732283472" top="1.1811023622047245" bottom="0.78740157480314965" header="0.31496062992125984" footer="0.31496062992125984"/>
      <pageSetup paperSize="8" scale="77" fitToHeight="0" orientation="landscape" cellComments="atEnd" r:id="rId1"/>
      <headerFooter>
        <oddHeader>&amp;LKennzahlenraster KIP / IAS&amp;R&amp;G</oddHeader>
        <oddFooter>&amp;L&amp;A: Zusammenleben&amp;R&amp;P</oddFooter>
      </headerFooter>
    </customSheetView>
  </customSheetViews>
  <mergeCells count="11">
    <mergeCell ref="J9:K10"/>
    <mergeCell ref="M7:M16"/>
    <mergeCell ref="B13:K13"/>
    <mergeCell ref="C14:K14"/>
    <mergeCell ref="C15:K15"/>
    <mergeCell ref="C16:K16"/>
    <mergeCell ref="C3:D3"/>
    <mergeCell ref="C4:D4"/>
    <mergeCell ref="J6:K6"/>
    <mergeCell ref="B6:I6"/>
    <mergeCell ref="B1:K1"/>
  </mergeCells>
  <dataValidations count="5">
    <dataValidation type="whole" operator="greaterThanOrEqual" allowBlank="1" showErrorMessage="1" errorTitle="Fehler" error="Solo i numeri interi e positivi sono validi (0, 200, etc.). " promptTitle="Ganze Zahlen" prompt="Nur ganzzahlige Werte (0, 1, 200 etc.)" sqref="D8:I8" xr:uid="{00000000-0002-0000-0F00-000000000000}">
      <formula1>0</formula1>
    </dataValidation>
    <dataValidation type="date" allowBlank="1" showInputMessage="1" showErrorMessage="1" errorTitle="Erfassungsdatum" error="Si prega di compilare" promptTitle="Data del rilevamento" prompt="Si prega di compilare" sqref="C4:D4" xr:uid="{00000000-0002-0000-0F00-000001000000}">
      <formula1>44927</formula1>
      <formula2>45291</formula2>
    </dataValidation>
    <dataValidation operator="greaterThanOrEqual" allowBlank="1" sqref="J7:K7" xr:uid="{00000000-0002-0000-0F00-000002000000}"/>
    <dataValidation allowBlank="1" sqref="C9:I10" xr:uid="{00000000-0002-0000-0F00-000003000000}"/>
    <dataValidation allowBlank="1" showInputMessage="1" showErrorMessage="1" errorTitle="Data del rilevamento" promptTitle="Data del rilevamento" sqref="D17" xr:uid="{00000000-0002-0000-0F00-000004000000}"/>
  </dataValidations>
  <pageMargins left="0.70866141732283472" right="0.70866141732283472" top="1.1811023622047245" bottom="0.78740157480314965" header="0.31496062992125984" footer="0.31496062992125984"/>
  <pageSetup paperSize="8" scale="75" fitToHeight="0" orientation="landscape" cellComments="atEnd" r:id="rId2"/>
  <headerFooter>
    <oddFooter>&amp;L&amp;A: Zusammenleben&amp;R&amp;P</oddFooter>
  </headerFooter>
  <extLst>
    <ext xmlns:x14="http://schemas.microsoft.com/office/spreadsheetml/2009/9/main" uri="{CCE6A557-97BC-4b89-ADB6-D9C93CAAB3DF}">
      <x14:dataValidations xmlns:xm="http://schemas.microsoft.com/office/excel/2006/main" count="2">
        <x14:dataValidation type="list" operator="greaterThanOrEqual" xr:uid="{00000000-0002-0000-0F00-000005000000}">
          <x14:formula1>
            <xm:f>Dropdownlisten!$C$4:$C$6</xm:f>
          </x14:formula1>
          <xm:sqref>J8</xm:sqref>
        </x14:dataValidation>
        <x14:dataValidation type="list" operator="greaterThanOrEqual" xr:uid="{00000000-0002-0000-0F00-000006000000}">
          <x14:formula1>
            <xm:f>Dropdownlisten!$E$4:$E$6</xm:f>
          </x14:formula1>
          <xm:sqref>K8</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20">
    <tabColor theme="7" tint="0.59999389629810485"/>
  </sheetPr>
  <dimension ref="A1:AJ52"/>
  <sheetViews>
    <sheetView showGridLines="0" zoomScale="75" zoomScaleNormal="75" workbookViewId="0">
      <selection activeCell="C6" sqref="C6:G6"/>
    </sheetView>
  </sheetViews>
  <sheetFormatPr baseColWidth="10" defaultRowHeight="14" x14ac:dyDescent="0.3"/>
  <cols>
    <col min="3" max="36" width="13.08203125" customWidth="1"/>
  </cols>
  <sheetData>
    <row r="1" spans="1:36" ht="30" x14ac:dyDescent="0.3">
      <c r="A1" s="546" t="s">
        <v>155</v>
      </c>
      <c r="B1" s="546"/>
      <c r="C1" s="546"/>
      <c r="D1" s="546"/>
      <c r="E1" s="546"/>
      <c r="F1" s="546"/>
      <c r="G1" s="546"/>
      <c r="H1" s="546"/>
      <c r="I1" s="546"/>
      <c r="J1" s="546"/>
      <c r="K1" s="546"/>
      <c r="L1" s="546"/>
      <c r="M1" s="546"/>
      <c r="N1" s="546"/>
      <c r="O1" s="546"/>
      <c r="P1" s="546"/>
      <c r="Q1" s="546"/>
    </row>
    <row r="3" spans="1:36" ht="20.149999999999999" customHeight="1" x14ac:dyDescent="0.3">
      <c r="A3" s="547" t="s">
        <v>199</v>
      </c>
      <c r="B3" s="548"/>
      <c r="C3" s="548"/>
      <c r="D3" s="548"/>
      <c r="E3" s="548"/>
      <c r="F3" s="548"/>
      <c r="G3" s="548"/>
      <c r="H3" s="548"/>
      <c r="I3" s="548"/>
      <c r="J3" s="548"/>
      <c r="K3" s="548"/>
      <c r="L3" s="548"/>
      <c r="M3" s="548"/>
      <c r="N3" s="548"/>
      <c r="O3" s="548"/>
      <c r="P3" s="548"/>
      <c r="Q3" s="549"/>
    </row>
    <row r="4" spans="1:36" ht="14.5" thickBot="1" x14ac:dyDescent="0.35">
      <c r="A4" s="143"/>
      <c r="B4" s="143"/>
    </row>
    <row r="5" spans="1:36" ht="14.5" thickBot="1" x14ac:dyDescent="0.35">
      <c r="A5" s="550" t="s">
        <v>162</v>
      </c>
      <c r="B5" s="553" t="s">
        <v>163</v>
      </c>
      <c r="C5" s="543" t="s">
        <v>156</v>
      </c>
      <c r="D5" s="544"/>
      <c r="E5" s="544"/>
      <c r="F5" s="544"/>
      <c r="G5" s="545"/>
      <c r="H5" s="543" t="s">
        <v>157</v>
      </c>
      <c r="I5" s="544"/>
      <c r="J5" s="544"/>
      <c r="K5" s="544"/>
      <c r="L5" s="545"/>
      <c r="M5" s="543" t="s">
        <v>158</v>
      </c>
      <c r="N5" s="544"/>
      <c r="O5" s="544"/>
      <c r="P5" s="545"/>
      <c r="Q5" s="543" t="s">
        <v>159</v>
      </c>
      <c r="R5" s="544"/>
      <c r="S5" s="544"/>
      <c r="T5" s="544"/>
      <c r="U5" s="545"/>
      <c r="V5" s="543" t="s">
        <v>164</v>
      </c>
      <c r="W5" s="544"/>
      <c r="X5" s="544"/>
      <c r="Y5" s="544"/>
      <c r="Z5" s="545"/>
      <c r="AA5" s="543" t="s">
        <v>165</v>
      </c>
      <c r="AB5" s="544"/>
      <c r="AC5" s="544"/>
      <c r="AD5" s="544"/>
      <c r="AE5" s="545"/>
      <c r="AF5" s="543" t="s">
        <v>166</v>
      </c>
      <c r="AG5" s="544"/>
      <c r="AH5" s="544"/>
      <c r="AI5" s="544"/>
      <c r="AJ5" s="545"/>
    </row>
    <row r="6" spans="1:36" ht="59.15" customHeight="1" x14ac:dyDescent="0.3">
      <c r="A6" s="551"/>
      <c r="B6" s="554"/>
      <c r="C6" s="540" t="s">
        <v>200</v>
      </c>
      <c r="D6" s="541"/>
      <c r="E6" s="541"/>
      <c r="F6" s="541"/>
      <c r="G6" s="542"/>
      <c r="H6" s="540" t="s">
        <v>201</v>
      </c>
      <c r="I6" s="541"/>
      <c r="J6" s="541"/>
      <c r="K6" s="541"/>
      <c r="L6" s="542"/>
      <c r="M6" s="540" t="s">
        <v>202</v>
      </c>
      <c r="N6" s="541"/>
      <c r="O6" s="541"/>
      <c r="P6" s="542"/>
      <c r="Q6" s="540" t="s">
        <v>203</v>
      </c>
      <c r="R6" s="541"/>
      <c r="S6" s="541"/>
      <c r="T6" s="541"/>
      <c r="U6" s="542"/>
      <c r="V6" s="540" t="s">
        <v>204</v>
      </c>
      <c r="W6" s="541"/>
      <c r="X6" s="541"/>
      <c r="Y6" s="541"/>
      <c r="Z6" s="542"/>
      <c r="AA6" s="540" t="s">
        <v>205</v>
      </c>
      <c r="AB6" s="541"/>
      <c r="AC6" s="541"/>
      <c r="AD6" s="541"/>
      <c r="AE6" s="542"/>
      <c r="AF6" s="540" t="s">
        <v>206</v>
      </c>
      <c r="AG6" s="541"/>
      <c r="AH6" s="541"/>
      <c r="AI6" s="541"/>
      <c r="AJ6" s="542"/>
    </row>
    <row r="7" spans="1:36" ht="14.15" customHeight="1" thickBot="1" x14ac:dyDescent="0.35">
      <c r="A7" s="552"/>
      <c r="B7" s="555"/>
      <c r="C7" s="339" t="s">
        <v>160</v>
      </c>
      <c r="D7" s="179" t="s">
        <v>161</v>
      </c>
      <c r="E7" s="179" t="s">
        <v>207</v>
      </c>
      <c r="F7" s="179" t="s">
        <v>119</v>
      </c>
      <c r="G7" s="179" t="s">
        <v>120</v>
      </c>
      <c r="H7" s="180" t="s">
        <v>160</v>
      </c>
      <c r="I7" s="179" t="s">
        <v>161</v>
      </c>
      <c r="J7" s="179" t="s">
        <v>207</v>
      </c>
      <c r="K7" s="179" t="s">
        <v>119</v>
      </c>
      <c r="L7" s="179" t="s">
        <v>120</v>
      </c>
      <c r="M7" s="180" t="s">
        <v>160</v>
      </c>
      <c r="N7" s="179" t="s">
        <v>161</v>
      </c>
      <c r="O7" s="179" t="s">
        <v>119</v>
      </c>
      <c r="P7" s="179" t="s">
        <v>120</v>
      </c>
      <c r="Q7" s="180" t="s">
        <v>160</v>
      </c>
      <c r="R7" s="179" t="s">
        <v>161</v>
      </c>
      <c r="S7" s="179" t="s">
        <v>207</v>
      </c>
      <c r="T7" s="179" t="s">
        <v>119</v>
      </c>
      <c r="U7" s="179" t="s">
        <v>120</v>
      </c>
      <c r="V7" s="180" t="s">
        <v>160</v>
      </c>
      <c r="W7" s="179" t="s">
        <v>161</v>
      </c>
      <c r="X7" s="179" t="s">
        <v>207</v>
      </c>
      <c r="Y7" s="179" t="s">
        <v>119</v>
      </c>
      <c r="Z7" s="179" t="s">
        <v>120</v>
      </c>
      <c r="AA7" s="180" t="s">
        <v>160</v>
      </c>
      <c r="AB7" s="179" t="s">
        <v>161</v>
      </c>
      <c r="AC7" s="179" t="s">
        <v>207</v>
      </c>
      <c r="AD7" s="179" t="s">
        <v>119</v>
      </c>
      <c r="AE7" s="179" t="s">
        <v>120</v>
      </c>
      <c r="AF7" s="180" t="s">
        <v>160</v>
      </c>
      <c r="AG7" s="179" t="s">
        <v>161</v>
      </c>
      <c r="AH7" s="179" t="s">
        <v>207</v>
      </c>
      <c r="AI7" s="179" t="s">
        <v>119</v>
      </c>
      <c r="AJ7" s="179" t="s">
        <v>120</v>
      </c>
    </row>
    <row r="8" spans="1:36" ht="14.15" customHeight="1" x14ac:dyDescent="0.3">
      <c r="A8" s="187" t="s">
        <v>35</v>
      </c>
      <c r="B8" s="188">
        <v>44926</v>
      </c>
      <c r="C8" s="184">
        <v>2346</v>
      </c>
      <c r="D8" s="185">
        <v>2560</v>
      </c>
      <c r="E8" s="185">
        <v>44464</v>
      </c>
      <c r="F8" s="295">
        <v>1594</v>
      </c>
      <c r="G8" s="186">
        <v>3312</v>
      </c>
      <c r="H8" s="184">
        <v>9928</v>
      </c>
      <c r="I8" s="185">
        <v>7256</v>
      </c>
      <c r="J8" s="185">
        <v>44461</v>
      </c>
      <c r="K8" s="185">
        <v>6969</v>
      </c>
      <c r="L8" s="186">
        <v>10215</v>
      </c>
      <c r="M8" s="184">
        <v>1990</v>
      </c>
      <c r="N8" s="184">
        <v>959</v>
      </c>
      <c r="O8" s="184">
        <v>1438</v>
      </c>
      <c r="P8" s="184">
        <v>1511</v>
      </c>
      <c r="Q8" s="184">
        <v>5579</v>
      </c>
      <c r="R8" s="184">
        <v>1555</v>
      </c>
      <c r="S8" s="184">
        <v>3054</v>
      </c>
      <c r="T8" s="184">
        <v>3506</v>
      </c>
      <c r="U8" s="184">
        <v>3628</v>
      </c>
      <c r="V8" s="184">
        <v>1804</v>
      </c>
      <c r="W8" s="184">
        <v>3759</v>
      </c>
      <c r="X8" s="184">
        <v>7019</v>
      </c>
      <c r="Y8" s="184">
        <v>1307</v>
      </c>
      <c r="Z8" s="184">
        <v>4256</v>
      </c>
      <c r="AA8" s="184">
        <v>7842</v>
      </c>
      <c r="AB8" s="184">
        <v>3165</v>
      </c>
      <c r="AC8" s="184">
        <v>27016</v>
      </c>
      <c r="AD8" s="184">
        <v>5361</v>
      </c>
      <c r="AE8" s="184">
        <v>5646</v>
      </c>
      <c r="AF8" s="184">
        <v>10682</v>
      </c>
      <c r="AG8" s="184">
        <v>8077</v>
      </c>
      <c r="AH8" s="184">
        <v>45186</v>
      </c>
      <c r="AI8" s="184">
        <v>7488</v>
      </c>
      <c r="AJ8" s="184">
        <v>11271</v>
      </c>
    </row>
    <row r="9" spans="1:36" ht="14.15" customHeight="1" x14ac:dyDescent="0.3">
      <c r="A9" s="181" t="s">
        <v>6</v>
      </c>
      <c r="B9" s="294">
        <v>44926</v>
      </c>
      <c r="C9" s="136">
        <v>194</v>
      </c>
      <c r="D9" s="137">
        <v>235</v>
      </c>
      <c r="E9" s="137">
        <v>3340</v>
      </c>
      <c r="F9" s="137">
        <v>117</v>
      </c>
      <c r="G9" s="138">
        <v>312</v>
      </c>
      <c r="H9" s="136">
        <v>977</v>
      </c>
      <c r="I9" s="137">
        <v>621</v>
      </c>
      <c r="J9" s="137">
        <v>3340</v>
      </c>
      <c r="K9" s="137">
        <v>600</v>
      </c>
      <c r="L9" s="138">
        <v>998</v>
      </c>
      <c r="M9" s="136">
        <v>202</v>
      </c>
      <c r="N9" s="137">
        <v>69</v>
      </c>
      <c r="O9" s="137">
        <v>124</v>
      </c>
      <c r="P9" s="137">
        <v>147</v>
      </c>
      <c r="Q9" s="136">
        <v>433</v>
      </c>
      <c r="R9" s="137">
        <v>74</v>
      </c>
      <c r="S9" s="137">
        <v>222</v>
      </c>
      <c r="T9" s="137">
        <v>276</v>
      </c>
      <c r="U9" s="138">
        <v>231</v>
      </c>
      <c r="V9" s="136">
        <v>178</v>
      </c>
      <c r="W9" s="137">
        <v>356</v>
      </c>
      <c r="X9" s="137">
        <v>513</v>
      </c>
      <c r="Y9" s="137">
        <v>117</v>
      </c>
      <c r="Z9" s="138">
        <v>417</v>
      </c>
      <c r="AA9" s="296">
        <v>763</v>
      </c>
      <c r="AB9" s="298">
        <v>238</v>
      </c>
      <c r="AC9" s="298">
        <v>2089</v>
      </c>
      <c r="AD9" s="298">
        <v>461</v>
      </c>
      <c r="AE9" s="299">
        <v>540</v>
      </c>
      <c r="AF9" s="296">
        <v>1065</v>
      </c>
      <c r="AG9" s="298">
        <v>709</v>
      </c>
      <c r="AH9" s="298">
        <v>3392</v>
      </c>
      <c r="AI9" s="298">
        <v>663</v>
      </c>
      <c r="AJ9" s="299">
        <v>1111</v>
      </c>
    </row>
    <row r="10" spans="1:36" ht="14.15" customHeight="1" x14ac:dyDescent="0.3">
      <c r="A10" s="142" t="s">
        <v>5</v>
      </c>
      <c r="B10" s="294">
        <v>44926</v>
      </c>
      <c r="C10" s="139">
        <v>9</v>
      </c>
      <c r="D10" s="137">
        <v>7</v>
      </c>
      <c r="E10" s="137">
        <v>86</v>
      </c>
      <c r="F10" s="137">
        <v>5</v>
      </c>
      <c r="G10" s="138">
        <v>11</v>
      </c>
      <c r="H10" s="139">
        <v>35</v>
      </c>
      <c r="I10" s="137">
        <v>20</v>
      </c>
      <c r="J10" s="137">
        <v>86</v>
      </c>
      <c r="K10" s="137">
        <v>18</v>
      </c>
      <c r="L10" s="138">
        <v>37</v>
      </c>
      <c r="M10" s="139">
        <v>3</v>
      </c>
      <c r="N10" s="140">
        <v>5</v>
      </c>
      <c r="O10" s="137">
        <v>4</v>
      </c>
      <c r="P10" s="137">
        <v>4</v>
      </c>
      <c r="Q10" s="139">
        <v>10</v>
      </c>
      <c r="R10" s="140">
        <v>1</v>
      </c>
      <c r="S10" s="137">
        <v>7</v>
      </c>
      <c r="T10" s="137">
        <v>7</v>
      </c>
      <c r="U10" s="138">
        <v>4</v>
      </c>
      <c r="V10" s="139">
        <v>8</v>
      </c>
      <c r="W10" s="140">
        <v>10</v>
      </c>
      <c r="X10" s="137">
        <v>20</v>
      </c>
      <c r="Y10" s="137">
        <v>4</v>
      </c>
      <c r="Z10" s="138">
        <v>14</v>
      </c>
      <c r="AA10" s="297">
        <v>27</v>
      </c>
      <c r="AB10" s="300">
        <v>10</v>
      </c>
      <c r="AC10" s="298">
        <v>53</v>
      </c>
      <c r="AD10" s="298">
        <v>14</v>
      </c>
      <c r="AE10" s="299">
        <v>23</v>
      </c>
      <c r="AF10" s="297">
        <v>37</v>
      </c>
      <c r="AG10" s="300">
        <v>20</v>
      </c>
      <c r="AH10" s="298">
        <v>87</v>
      </c>
      <c r="AI10" s="298">
        <v>19</v>
      </c>
      <c r="AJ10" s="299">
        <v>38</v>
      </c>
    </row>
    <row r="11" spans="1:36" ht="14.15" customHeight="1" x14ac:dyDescent="0.3">
      <c r="A11" s="142" t="s">
        <v>4</v>
      </c>
      <c r="B11" s="294">
        <v>44926</v>
      </c>
      <c r="C11" s="139">
        <v>21</v>
      </c>
      <c r="D11" s="137">
        <v>18</v>
      </c>
      <c r="E11" s="137">
        <v>304</v>
      </c>
      <c r="F11" s="137">
        <v>15</v>
      </c>
      <c r="G11" s="138">
        <v>24</v>
      </c>
      <c r="H11" s="139">
        <v>89</v>
      </c>
      <c r="I11" s="137">
        <v>61</v>
      </c>
      <c r="J11" s="137">
        <v>304</v>
      </c>
      <c r="K11" s="137">
        <v>59</v>
      </c>
      <c r="L11" s="138">
        <v>91</v>
      </c>
      <c r="M11" s="139">
        <v>13</v>
      </c>
      <c r="N11" s="140">
        <v>8</v>
      </c>
      <c r="O11" s="137">
        <v>10</v>
      </c>
      <c r="P11" s="137">
        <v>11</v>
      </c>
      <c r="Q11" s="139">
        <v>49</v>
      </c>
      <c r="R11" s="140">
        <v>10</v>
      </c>
      <c r="S11" s="137">
        <v>28</v>
      </c>
      <c r="T11" s="137">
        <v>33</v>
      </c>
      <c r="U11" s="138">
        <v>26</v>
      </c>
      <c r="V11" s="139">
        <v>15</v>
      </c>
      <c r="W11" s="140">
        <v>30</v>
      </c>
      <c r="X11" s="137">
        <v>50</v>
      </c>
      <c r="Y11" s="137">
        <v>11</v>
      </c>
      <c r="Z11" s="138">
        <v>34</v>
      </c>
      <c r="AA11" s="297">
        <v>72</v>
      </c>
      <c r="AB11" s="300">
        <v>27</v>
      </c>
      <c r="AC11" s="298">
        <v>182</v>
      </c>
      <c r="AD11" s="298">
        <v>46</v>
      </c>
      <c r="AE11" s="299">
        <v>53</v>
      </c>
      <c r="AF11" s="297">
        <v>97</v>
      </c>
      <c r="AG11" s="300">
        <v>66</v>
      </c>
      <c r="AH11" s="298">
        <v>311</v>
      </c>
      <c r="AI11" s="298">
        <v>61</v>
      </c>
      <c r="AJ11" s="299">
        <v>102</v>
      </c>
    </row>
    <row r="12" spans="1:36" ht="14.15" customHeight="1" x14ac:dyDescent="0.3">
      <c r="A12" s="142" t="s">
        <v>7</v>
      </c>
      <c r="B12" s="294">
        <v>44926</v>
      </c>
      <c r="C12" s="139">
        <v>277</v>
      </c>
      <c r="D12" s="137">
        <v>333</v>
      </c>
      <c r="E12" s="137">
        <v>5084</v>
      </c>
      <c r="F12" s="137">
        <v>203</v>
      </c>
      <c r="G12" s="138">
        <v>407</v>
      </c>
      <c r="H12" s="139">
        <v>1295</v>
      </c>
      <c r="I12" s="137">
        <v>978</v>
      </c>
      <c r="J12" s="137">
        <v>5083</v>
      </c>
      <c r="K12" s="137">
        <v>931</v>
      </c>
      <c r="L12" s="138">
        <v>1342</v>
      </c>
      <c r="M12" s="139">
        <v>252</v>
      </c>
      <c r="N12" s="140">
        <v>128</v>
      </c>
      <c r="O12" s="137">
        <v>190</v>
      </c>
      <c r="P12" s="137">
        <v>190</v>
      </c>
      <c r="Q12" s="139">
        <v>802</v>
      </c>
      <c r="R12" s="140">
        <v>254</v>
      </c>
      <c r="S12" s="137">
        <v>360</v>
      </c>
      <c r="T12" s="137">
        <v>515</v>
      </c>
      <c r="U12" s="138">
        <v>541</v>
      </c>
      <c r="V12" s="139">
        <v>188</v>
      </c>
      <c r="W12" s="140">
        <v>474</v>
      </c>
      <c r="X12" s="137">
        <v>815</v>
      </c>
      <c r="Y12" s="137">
        <v>150</v>
      </c>
      <c r="Z12" s="138">
        <v>512</v>
      </c>
      <c r="AA12" s="297">
        <v>1065</v>
      </c>
      <c r="AB12" s="300">
        <v>465</v>
      </c>
      <c r="AC12" s="298">
        <v>3098</v>
      </c>
      <c r="AD12" s="298">
        <v>736</v>
      </c>
      <c r="AE12" s="299">
        <v>794</v>
      </c>
      <c r="AF12" s="297">
        <v>1400</v>
      </c>
      <c r="AG12" s="300">
        <v>1086</v>
      </c>
      <c r="AH12" s="298">
        <v>5191</v>
      </c>
      <c r="AI12" s="298">
        <v>1013</v>
      </c>
      <c r="AJ12" s="299">
        <v>1473</v>
      </c>
    </row>
    <row r="13" spans="1:36" ht="14.15" customHeight="1" x14ac:dyDescent="0.3">
      <c r="A13" s="142" t="s">
        <v>8</v>
      </c>
      <c r="B13" s="294">
        <v>44926</v>
      </c>
      <c r="C13" s="139">
        <v>48</v>
      </c>
      <c r="D13" s="137">
        <v>89</v>
      </c>
      <c r="E13" s="137">
        <v>1474</v>
      </c>
      <c r="F13" s="137">
        <v>40</v>
      </c>
      <c r="G13" s="138">
        <v>97</v>
      </c>
      <c r="H13" s="139">
        <v>222</v>
      </c>
      <c r="I13" s="137">
        <v>187</v>
      </c>
      <c r="J13" s="137">
        <v>1474</v>
      </c>
      <c r="K13" s="137">
        <v>164</v>
      </c>
      <c r="L13" s="138">
        <v>245</v>
      </c>
      <c r="M13" s="139">
        <v>60</v>
      </c>
      <c r="N13" s="140">
        <v>32</v>
      </c>
      <c r="O13" s="137">
        <v>49</v>
      </c>
      <c r="P13" s="137">
        <v>43</v>
      </c>
      <c r="Q13" s="139">
        <v>134</v>
      </c>
      <c r="R13" s="140">
        <v>40</v>
      </c>
      <c r="S13" s="137">
        <v>110</v>
      </c>
      <c r="T13" s="137">
        <v>93</v>
      </c>
      <c r="U13" s="138">
        <v>81</v>
      </c>
      <c r="V13" s="139">
        <v>49</v>
      </c>
      <c r="W13" s="140">
        <v>117</v>
      </c>
      <c r="X13" s="137">
        <v>213</v>
      </c>
      <c r="Y13" s="137">
        <v>35</v>
      </c>
      <c r="Z13" s="138">
        <v>131</v>
      </c>
      <c r="AA13" s="297">
        <v>166</v>
      </c>
      <c r="AB13" s="300">
        <v>65</v>
      </c>
      <c r="AC13" s="298">
        <v>906</v>
      </c>
      <c r="AD13" s="298">
        <v>125</v>
      </c>
      <c r="AE13" s="299">
        <v>106</v>
      </c>
      <c r="AF13" s="297">
        <v>238</v>
      </c>
      <c r="AG13" s="300">
        <v>207</v>
      </c>
      <c r="AH13" s="298">
        <v>1504</v>
      </c>
      <c r="AI13" s="298">
        <v>171</v>
      </c>
      <c r="AJ13" s="299">
        <v>274</v>
      </c>
    </row>
    <row r="14" spans="1:36" ht="14.15" customHeight="1" x14ac:dyDescent="0.3">
      <c r="A14" s="142" t="s">
        <v>9</v>
      </c>
      <c r="B14" s="294">
        <v>44926</v>
      </c>
      <c r="C14" s="139">
        <v>45</v>
      </c>
      <c r="D14" s="137">
        <v>45</v>
      </c>
      <c r="E14" s="137">
        <v>1227</v>
      </c>
      <c r="F14" s="137">
        <v>35</v>
      </c>
      <c r="G14" s="138">
        <v>55</v>
      </c>
      <c r="H14" s="139">
        <v>226</v>
      </c>
      <c r="I14" s="137">
        <v>135</v>
      </c>
      <c r="J14" s="137">
        <v>1227</v>
      </c>
      <c r="K14" s="137">
        <v>161</v>
      </c>
      <c r="L14" s="138">
        <v>200</v>
      </c>
      <c r="M14" s="139">
        <v>55</v>
      </c>
      <c r="N14" s="140">
        <v>27</v>
      </c>
      <c r="O14" s="137">
        <v>43</v>
      </c>
      <c r="P14" s="137">
        <v>39</v>
      </c>
      <c r="Q14" s="139">
        <v>99</v>
      </c>
      <c r="R14" s="140">
        <v>29</v>
      </c>
      <c r="S14" s="137">
        <v>69</v>
      </c>
      <c r="T14" s="137">
        <v>66</v>
      </c>
      <c r="U14" s="138">
        <v>62</v>
      </c>
      <c r="V14" s="139">
        <v>48</v>
      </c>
      <c r="W14" s="140">
        <v>64</v>
      </c>
      <c r="X14" s="137">
        <v>202</v>
      </c>
      <c r="Y14" s="137">
        <v>32</v>
      </c>
      <c r="Z14" s="138">
        <v>80</v>
      </c>
      <c r="AA14" s="297">
        <v>167</v>
      </c>
      <c r="AB14" s="300">
        <v>58</v>
      </c>
      <c r="AC14" s="298">
        <v>717</v>
      </c>
      <c r="AD14" s="298">
        <v>113</v>
      </c>
      <c r="AE14" s="299">
        <v>112</v>
      </c>
      <c r="AF14" s="297">
        <v>240</v>
      </c>
      <c r="AG14" s="300">
        <v>156</v>
      </c>
      <c r="AH14" s="298">
        <v>1243</v>
      </c>
      <c r="AI14" s="298">
        <v>170</v>
      </c>
      <c r="AJ14" s="299">
        <v>226</v>
      </c>
    </row>
    <row r="15" spans="1:36" ht="14.15" customHeight="1" x14ac:dyDescent="0.3">
      <c r="A15" s="142" t="s">
        <v>10</v>
      </c>
      <c r="B15" s="294">
        <v>44926</v>
      </c>
      <c r="C15" s="139">
        <v>73</v>
      </c>
      <c r="D15" s="137">
        <v>77</v>
      </c>
      <c r="E15" s="137">
        <v>1714</v>
      </c>
      <c r="F15" s="137">
        <v>45</v>
      </c>
      <c r="G15" s="138">
        <v>105</v>
      </c>
      <c r="H15" s="139">
        <v>292</v>
      </c>
      <c r="I15" s="137">
        <v>233</v>
      </c>
      <c r="J15" s="137">
        <v>1714</v>
      </c>
      <c r="K15" s="137">
        <v>217</v>
      </c>
      <c r="L15" s="138">
        <v>308</v>
      </c>
      <c r="M15" s="139">
        <v>75</v>
      </c>
      <c r="N15" s="140">
        <v>28</v>
      </c>
      <c r="O15" s="137">
        <v>53</v>
      </c>
      <c r="P15" s="137">
        <v>50</v>
      </c>
      <c r="Q15" s="139">
        <v>238</v>
      </c>
      <c r="R15" s="140">
        <v>38</v>
      </c>
      <c r="S15" s="137">
        <v>118</v>
      </c>
      <c r="T15" s="137">
        <v>134</v>
      </c>
      <c r="U15" s="138">
        <v>142</v>
      </c>
      <c r="V15" s="139">
        <v>68</v>
      </c>
      <c r="W15" s="140">
        <v>123</v>
      </c>
      <c r="X15" s="137">
        <v>315</v>
      </c>
      <c r="Y15" s="137">
        <v>44</v>
      </c>
      <c r="Z15" s="138">
        <v>147</v>
      </c>
      <c r="AA15" s="297">
        <v>212</v>
      </c>
      <c r="AB15" s="300">
        <v>95</v>
      </c>
      <c r="AC15" s="298">
        <v>1014</v>
      </c>
      <c r="AD15" s="298">
        <v>161</v>
      </c>
      <c r="AE15" s="299">
        <v>146</v>
      </c>
      <c r="AF15" s="297">
        <v>323</v>
      </c>
      <c r="AG15" s="300">
        <v>262</v>
      </c>
      <c r="AH15" s="298">
        <v>1742</v>
      </c>
      <c r="AI15" s="298">
        <v>237</v>
      </c>
      <c r="AJ15" s="299">
        <v>348</v>
      </c>
    </row>
    <row r="16" spans="1:36" ht="14.15" customHeight="1" x14ac:dyDescent="0.3">
      <c r="A16" s="142" t="s">
        <v>11</v>
      </c>
      <c r="B16" s="294">
        <v>44926</v>
      </c>
      <c r="C16" s="139">
        <v>187</v>
      </c>
      <c r="D16" s="137">
        <v>172</v>
      </c>
      <c r="E16" s="137">
        <v>2940</v>
      </c>
      <c r="F16" s="137">
        <v>146</v>
      </c>
      <c r="G16" s="138">
        <v>213</v>
      </c>
      <c r="H16" s="139">
        <v>705</v>
      </c>
      <c r="I16" s="137">
        <v>467</v>
      </c>
      <c r="J16" s="137">
        <v>2940</v>
      </c>
      <c r="K16" s="137">
        <v>500</v>
      </c>
      <c r="L16" s="138">
        <v>672</v>
      </c>
      <c r="M16" s="139">
        <v>130</v>
      </c>
      <c r="N16" s="140">
        <v>65</v>
      </c>
      <c r="O16" s="137">
        <v>87</v>
      </c>
      <c r="P16" s="137">
        <v>108</v>
      </c>
      <c r="Q16" s="139">
        <v>372</v>
      </c>
      <c r="R16" s="140">
        <v>119</v>
      </c>
      <c r="S16" s="137">
        <v>197</v>
      </c>
      <c r="T16" s="137">
        <v>239</v>
      </c>
      <c r="U16" s="138">
        <v>252</v>
      </c>
      <c r="V16" s="139">
        <v>127</v>
      </c>
      <c r="W16" s="140">
        <v>202</v>
      </c>
      <c r="X16" s="137">
        <v>402</v>
      </c>
      <c r="Y16" s="137">
        <v>92</v>
      </c>
      <c r="Z16" s="138">
        <v>237</v>
      </c>
      <c r="AA16" s="297">
        <v>556</v>
      </c>
      <c r="AB16" s="300">
        <v>237</v>
      </c>
      <c r="AC16" s="298">
        <v>1740</v>
      </c>
      <c r="AD16" s="298">
        <v>383</v>
      </c>
      <c r="AE16" s="299">
        <v>410</v>
      </c>
      <c r="AF16" s="297">
        <v>746</v>
      </c>
      <c r="AG16" s="300">
        <v>521</v>
      </c>
      <c r="AH16" s="298">
        <v>2985</v>
      </c>
      <c r="AI16" s="298">
        <v>524</v>
      </c>
      <c r="AJ16" s="299">
        <v>743</v>
      </c>
    </row>
    <row r="17" spans="1:36" ht="14.15" customHeight="1" x14ac:dyDescent="0.3">
      <c r="A17" s="142" t="s">
        <v>3</v>
      </c>
      <c r="B17" s="294">
        <v>44926</v>
      </c>
      <c r="C17" s="139">
        <v>18</v>
      </c>
      <c r="D17" s="137">
        <v>19</v>
      </c>
      <c r="E17" s="137">
        <v>213</v>
      </c>
      <c r="F17" s="137">
        <v>12</v>
      </c>
      <c r="G17" s="138">
        <v>25</v>
      </c>
      <c r="H17" s="139">
        <v>58</v>
      </c>
      <c r="I17" s="137">
        <v>60</v>
      </c>
      <c r="J17" s="137">
        <v>213</v>
      </c>
      <c r="K17" s="137">
        <v>49</v>
      </c>
      <c r="L17" s="138">
        <v>69</v>
      </c>
      <c r="M17" s="139">
        <v>11</v>
      </c>
      <c r="N17" s="140">
        <v>9</v>
      </c>
      <c r="O17" s="137">
        <v>10</v>
      </c>
      <c r="P17" s="137">
        <v>10</v>
      </c>
      <c r="Q17" s="139">
        <v>27</v>
      </c>
      <c r="R17" s="140">
        <v>8</v>
      </c>
      <c r="S17" s="137">
        <v>21</v>
      </c>
      <c r="T17" s="137">
        <v>19</v>
      </c>
      <c r="U17" s="138">
        <v>16</v>
      </c>
      <c r="V17" s="139">
        <v>7</v>
      </c>
      <c r="W17" s="140">
        <v>31</v>
      </c>
      <c r="X17" s="137">
        <v>35</v>
      </c>
      <c r="Y17" s="137">
        <v>8</v>
      </c>
      <c r="Z17" s="138">
        <v>30</v>
      </c>
      <c r="AA17" s="297">
        <v>50</v>
      </c>
      <c r="AB17" s="300">
        <v>28</v>
      </c>
      <c r="AC17" s="298">
        <v>131</v>
      </c>
      <c r="AD17" s="298">
        <v>39</v>
      </c>
      <c r="AE17" s="299">
        <v>39</v>
      </c>
      <c r="AF17" s="297">
        <v>63</v>
      </c>
      <c r="AG17" s="300">
        <v>64</v>
      </c>
      <c r="AH17" s="298">
        <v>214</v>
      </c>
      <c r="AI17" s="298">
        <v>53</v>
      </c>
      <c r="AJ17" s="299">
        <v>74</v>
      </c>
    </row>
    <row r="18" spans="1:36" ht="14.15" customHeight="1" x14ac:dyDescent="0.3">
      <c r="A18" s="142" t="s">
        <v>12</v>
      </c>
      <c r="B18" s="294">
        <v>44926</v>
      </c>
      <c r="C18" s="139">
        <v>83</v>
      </c>
      <c r="D18" s="137">
        <v>64</v>
      </c>
      <c r="E18" s="137">
        <v>922</v>
      </c>
      <c r="F18" s="137">
        <v>46</v>
      </c>
      <c r="G18" s="138">
        <v>101</v>
      </c>
      <c r="H18" s="139">
        <v>271</v>
      </c>
      <c r="I18" s="137">
        <v>177</v>
      </c>
      <c r="J18" s="137">
        <v>922</v>
      </c>
      <c r="K18" s="137">
        <v>170</v>
      </c>
      <c r="L18" s="138">
        <v>278</v>
      </c>
      <c r="M18" s="139">
        <v>46</v>
      </c>
      <c r="N18" s="140">
        <v>15</v>
      </c>
      <c r="O18" s="137">
        <v>31</v>
      </c>
      <c r="P18" s="137">
        <v>30</v>
      </c>
      <c r="Q18" s="139">
        <v>135</v>
      </c>
      <c r="R18" s="140">
        <v>22</v>
      </c>
      <c r="S18" s="137">
        <v>89</v>
      </c>
      <c r="T18" s="137">
        <v>82</v>
      </c>
      <c r="U18" s="138">
        <v>75</v>
      </c>
      <c r="V18" s="139">
        <v>50</v>
      </c>
      <c r="W18" s="140">
        <v>96</v>
      </c>
      <c r="X18" s="137">
        <v>129</v>
      </c>
      <c r="Y18" s="137">
        <v>33</v>
      </c>
      <c r="Z18" s="138">
        <v>113</v>
      </c>
      <c r="AA18" s="297">
        <v>217</v>
      </c>
      <c r="AB18" s="300">
        <v>72</v>
      </c>
      <c r="AC18" s="298">
        <v>575</v>
      </c>
      <c r="AD18" s="298">
        <v>132</v>
      </c>
      <c r="AE18" s="299">
        <v>157</v>
      </c>
      <c r="AF18" s="297">
        <v>290</v>
      </c>
      <c r="AG18" s="300">
        <v>200</v>
      </c>
      <c r="AH18" s="298">
        <v>933</v>
      </c>
      <c r="AI18" s="298">
        <v>185</v>
      </c>
      <c r="AJ18" s="299">
        <v>305</v>
      </c>
    </row>
    <row r="19" spans="1:36" ht="14.15" customHeight="1" x14ac:dyDescent="0.3">
      <c r="A19" s="142" t="s">
        <v>13</v>
      </c>
      <c r="B19" s="294">
        <v>44926</v>
      </c>
      <c r="C19" s="139">
        <v>44</v>
      </c>
      <c r="D19" s="137">
        <v>21</v>
      </c>
      <c r="E19" s="137">
        <v>390</v>
      </c>
      <c r="F19" s="137">
        <v>25</v>
      </c>
      <c r="G19" s="138">
        <v>40</v>
      </c>
      <c r="H19" s="139">
        <v>119</v>
      </c>
      <c r="I19" s="137">
        <v>70</v>
      </c>
      <c r="J19" s="137">
        <v>390</v>
      </c>
      <c r="K19" s="137">
        <v>85</v>
      </c>
      <c r="L19" s="138">
        <v>104</v>
      </c>
      <c r="M19" s="139">
        <v>28</v>
      </c>
      <c r="N19" s="140">
        <v>5</v>
      </c>
      <c r="O19" s="137">
        <v>17</v>
      </c>
      <c r="P19" s="137">
        <v>16</v>
      </c>
      <c r="Q19" s="139">
        <v>87</v>
      </c>
      <c r="R19" s="140">
        <v>10</v>
      </c>
      <c r="S19" s="137">
        <v>25</v>
      </c>
      <c r="T19" s="137">
        <v>45</v>
      </c>
      <c r="U19" s="138">
        <v>52</v>
      </c>
      <c r="V19" s="139">
        <v>17</v>
      </c>
      <c r="W19" s="140">
        <v>35</v>
      </c>
      <c r="X19" s="137">
        <v>55</v>
      </c>
      <c r="Y19" s="137">
        <v>12</v>
      </c>
      <c r="Z19" s="138">
        <v>40</v>
      </c>
      <c r="AA19" s="297">
        <v>100</v>
      </c>
      <c r="AB19" s="300">
        <v>32</v>
      </c>
      <c r="AC19" s="298">
        <v>234</v>
      </c>
      <c r="AD19" s="298">
        <v>70</v>
      </c>
      <c r="AE19" s="299">
        <v>62</v>
      </c>
      <c r="AF19" s="297">
        <v>131</v>
      </c>
      <c r="AG19" s="300">
        <v>76</v>
      </c>
      <c r="AH19" s="298">
        <v>399</v>
      </c>
      <c r="AI19" s="298">
        <v>90</v>
      </c>
      <c r="AJ19" s="299">
        <v>117</v>
      </c>
    </row>
    <row r="20" spans="1:36" ht="14.15" customHeight="1" x14ac:dyDescent="0.3">
      <c r="A20" s="142" t="s">
        <v>14</v>
      </c>
      <c r="B20" s="294">
        <v>44926</v>
      </c>
      <c r="C20" s="139">
        <v>111</v>
      </c>
      <c r="D20" s="137">
        <v>119</v>
      </c>
      <c r="E20" s="137">
        <v>2137</v>
      </c>
      <c r="F20" s="137">
        <v>76</v>
      </c>
      <c r="G20" s="138">
        <v>154</v>
      </c>
      <c r="H20" s="139">
        <v>556</v>
      </c>
      <c r="I20" s="137">
        <v>393</v>
      </c>
      <c r="J20" s="137">
        <v>2137</v>
      </c>
      <c r="K20" s="137">
        <v>378</v>
      </c>
      <c r="L20" s="138">
        <v>571</v>
      </c>
      <c r="M20" s="139">
        <v>104</v>
      </c>
      <c r="N20" s="140">
        <v>58</v>
      </c>
      <c r="O20" s="137">
        <v>73</v>
      </c>
      <c r="P20" s="137">
        <v>89</v>
      </c>
      <c r="Q20" s="139">
        <v>290</v>
      </c>
      <c r="R20" s="140">
        <v>84</v>
      </c>
      <c r="S20" s="137">
        <v>143</v>
      </c>
      <c r="T20" s="137">
        <v>168</v>
      </c>
      <c r="U20" s="138">
        <v>206</v>
      </c>
      <c r="V20" s="139">
        <v>98</v>
      </c>
      <c r="W20" s="140">
        <v>200</v>
      </c>
      <c r="X20" s="137">
        <v>357</v>
      </c>
      <c r="Y20" s="137">
        <v>79</v>
      </c>
      <c r="Z20" s="138">
        <v>219</v>
      </c>
      <c r="AA20" s="297">
        <v>444</v>
      </c>
      <c r="AB20" s="300">
        <v>175</v>
      </c>
      <c r="AC20" s="298">
        <v>1344</v>
      </c>
      <c r="AD20" s="298">
        <v>284</v>
      </c>
      <c r="AE20" s="299">
        <v>335</v>
      </c>
      <c r="AF20" s="297">
        <v>600</v>
      </c>
      <c r="AG20" s="300">
        <v>436</v>
      </c>
      <c r="AH20" s="298">
        <v>2163</v>
      </c>
      <c r="AI20" s="298">
        <v>405</v>
      </c>
      <c r="AJ20" s="299">
        <v>631</v>
      </c>
    </row>
    <row r="21" spans="1:36" ht="14.15" customHeight="1" x14ac:dyDescent="0.3">
      <c r="A21" s="142" t="s">
        <v>15</v>
      </c>
      <c r="B21" s="294">
        <v>44926</v>
      </c>
      <c r="C21" s="139">
        <v>45</v>
      </c>
      <c r="D21" s="137">
        <v>44</v>
      </c>
      <c r="E21" s="137">
        <v>872</v>
      </c>
      <c r="F21" s="137">
        <v>31</v>
      </c>
      <c r="G21" s="138">
        <v>58</v>
      </c>
      <c r="H21" s="139">
        <v>177</v>
      </c>
      <c r="I21" s="137">
        <v>122</v>
      </c>
      <c r="J21" s="137">
        <v>871</v>
      </c>
      <c r="K21" s="137">
        <v>127</v>
      </c>
      <c r="L21" s="138">
        <v>172</v>
      </c>
      <c r="M21" s="139">
        <v>34</v>
      </c>
      <c r="N21" s="140">
        <v>27</v>
      </c>
      <c r="O21" s="137">
        <v>29</v>
      </c>
      <c r="P21" s="137">
        <v>32</v>
      </c>
      <c r="Q21" s="139">
        <v>146</v>
      </c>
      <c r="R21" s="140">
        <v>34</v>
      </c>
      <c r="S21" s="137">
        <v>52</v>
      </c>
      <c r="T21" s="137">
        <v>87</v>
      </c>
      <c r="U21" s="138">
        <v>93</v>
      </c>
      <c r="V21" s="139">
        <v>41</v>
      </c>
      <c r="W21" s="140">
        <v>65</v>
      </c>
      <c r="X21" s="137">
        <v>132</v>
      </c>
      <c r="Y21" s="137">
        <v>21</v>
      </c>
      <c r="Z21" s="138">
        <v>85</v>
      </c>
      <c r="AA21" s="297">
        <v>130</v>
      </c>
      <c r="AB21" s="300">
        <v>47</v>
      </c>
      <c r="AC21" s="298">
        <v>565</v>
      </c>
      <c r="AD21" s="298">
        <v>97</v>
      </c>
      <c r="AE21" s="299">
        <v>80</v>
      </c>
      <c r="AF21" s="297">
        <v>189</v>
      </c>
      <c r="AG21" s="300">
        <v>138</v>
      </c>
      <c r="AH21" s="298">
        <v>890</v>
      </c>
      <c r="AI21" s="298">
        <v>136</v>
      </c>
      <c r="AJ21" s="299">
        <v>191</v>
      </c>
    </row>
    <row r="22" spans="1:36" ht="14.15" customHeight="1" x14ac:dyDescent="0.3">
      <c r="A22" s="142" t="s">
        <v>16</v>
      </c>
      <c r="B22" s="294">
        <v>44926</v>
      </c>
      <c r="C22" s="139">
        <v>20</v>
      </c>
      <c r="D22" s="137">
        <v>17</v>
      </c>
      <c r="E22" s="137">
        <v>214</v>
      </c>
      <c r="F22" s="137">
        <v>13</v>
      </c>
      <c r="G22" s="138">
        <v>24</v>
      </c>
      <c r="H22" s="139">
        <v>72</v>
      </c>
      <c r="I22" s="137">
        <v>58</v>
      </c>
      <c r="J22" s="137">
        <v>214</v>
      </c>
      <c r="K22" s="137">
        <v>51</v>
      </c>
      <c r="L22" s="138">
        <v>79</v>
      </c>
      <c r="M22" s="139">
        <v>16</v>
      </c>
      <c r="N22" s="140">
        <v>8</v>
      </c>
      <c r="O22" s="137">
        <v>10</v>
      </c>
      <c r="P22" s="137">
        <v>14</v>
      </c>
      <c r="Q22" s="139">
        <v>34</v>
      </c>
      <c r="R22" s="140">
        <v>7</v>
      </c>
      <c r="S22" s="137">
        <v>11</v>
      </c>
      <c r="T22" s="137">
        <v>15</v>
      </c>
      <c r="U22" s="138">
        <v>26</v>
      </c>
      <c r="V22" s="139">
        <v>12</v>
      </c>
      <c r="W22" s="140">
        <v>32</v>
      </c>
      <c r="X22" s="137">
        <v>30</v>
      </c>
      <c r="Y22" s="137">
        <v>12</v>
      </c>
      <c r="Z22" s="138">
        <v>32</v>
      </c>
      <c r="AA22" s="297">
        <v>57</v>
      </c>
      <c r="AB22" s="300">
        <v>24</v>
      </c>
      <c r="AC22" s="298">
        <v>130</v>
      </c>
      <c r="AD22" s="298">
        <v>37</v>
      </c>
      <c r="AE22" s="299">
        <v>44</v>
      </c>
      <c r="AF22" s="297">
        <v>77</v>
      </c>
      <c r="AG22" s="300">
        <v>60</v>
      </c>
      <c r="AH22" s="298">
        <v>217</v>
      </c>
      <c r="AI22" s="298">
        <v>53</v>
      </c>
      <c r="AJ22" s="299">
        <v>84</v>
      </c>
    </row>
    <row r="23" spans="1:36" ht="14.15" customHeight="1" x14ac:dyDescent="0.3">
      <c r="A23" s="142" t="s">
        <v>17</v>
      </c>
      <c r="B23" s="294">
        <v>44926</v>
      </c>
      <c r="C23" s="139">
        <v>10</v>
      </c>
      <c r="D23" s="137">
        <v>12</v>
      </c>
      <c r="E23" s="137">
        <v>174</v>
      </c>
      <c r="F23" s="137">
        <v>9</v>
      </c>
      <c r="G23" s="138">
        <v>13</v>
      </c>
      <c r="H23" s="139">
        <v>26</v>
      </c>
      <c r="I23" s="137">
        <v>26</v>
      </c>
      <c r="J23" s="137">
        <v>174</v>
      </c>
      <c r="K23" s="137">
        <v>23</v>
      </c>
      <c r="L23" s="138">
        <v>29</v>
      </c>
      <c r="M23" s="139">
        <v>3</v>
      </c>
      <c r="N23" s="140">
        <v>3</v>
      </c>
      <c r="O23" s="137">
        <v>5</v>
      </c>
      <c r="P23" s="137">
        <v>1</v>
      </c>
      <c r="Q23" s="139">
        <v>25</v>
      </c>
      <c r="R23" s="140">
        <v>4</v>
      </c>
      <c r="S23" s="137">
        <v>19</v>
      </c>
      <c r="T23" s="137">
        <v>15</v>
      </c>
      <c r="U23" s="138">
        <v>14</v>
      </c>
      <c r="V23" s="139">
        <v>3</v>
      </c>
      <c r="W23" s="140">
        <v>12</v>
      </c>
      <c r="X23" s="137">
        <v>33</v>
      </c>
      <c r="Y23" s="137">
        <v>4</v>
      </c>
      <c r="Z23" s="138">
        <v>11</v>
      </c>
      <c r="AA23" s="297">
        <v>22</v>
      </c>
      <c r="AB23" s="300">
        <v>14</v>
      </c>
      <c r="AC23" s="298">
        <v>110</v>
      </c>
      <c r="AD23" s="298">
        <v>18</v>
      </c>
      <c r="AE23" s="299">
        <v>18</v>
      </c>
      <c r="AF23" s="297">
        <v>27</v>
      </c>
      <c r="AG23" s="300">
        <v>26</v>
      </c>
      <c r="AH23" s="298">
        <v>177</v>
      </c>
      <c r="AI23" s="298">
        <v>23</v>
      </c>
      <c r="AJ23" s="299">
        <v>30</v>
      </c>
    </row>
    <row r="24" spans="1:36" ht="14.15" customHeight="1" x14ac:dyDescent="0.3">
      <c r="A24" s="142" t="s">
        <v>18</v>
      </c>
      <c r="B24" s="294">
        <v>44926</v>
      </c>
      <c r="C24" s="139">
        <v>145</v>
      </c>
      <c r="D24" s="137">
        <v>165</v>
      </c>
      <c r="E24" s="137">
        <v>2709</v>
      </c>
      <c r="F24" s="137">
        <v>93</v>
      </c>
      <c r="G24" s="138">
        <v>217</v>
      </c>
      <c r="H24" s="139">
        <v>563</v>
      </c>
      <c r="I24" s="137">
        <v>450</v>
      </c>
      <c r="J24" s="137">
        <v>2709</v>
      </c>
      <c r="K24" s="137">
        <v>404</v>
      </c>
      <c r="L24" s="138">
        <v>609</v>
      </c>
      <c r="M24" s="139">
        <v>91</v>
      </c>
      <c r="N24" s="140">
        <v>51</v>
      </c>
      <c r="O24" s="137">
        <v>72</v>
      </c>
      <c r="P24" s="137">
        <v>70</v>
      </c>
      <c r="Q24" s="139">
        <v>324</v>
      </c>
      <c r="R24" s="140">
        <v>93</v>
      </c>
      <c r="S24" s="137">
        <v>187</v>
      </c>
      <c r="T24" s="137">
        <v>193</v>
      </c>
      <c r="U24" s="138">
        <v>224</v>
      </c>
      <c r="V24" s="139">
        <v>100</v>
      </c>
      <c r="W24" s="140">
        <v>233</v>
      </c>
      <c r="X24" s="137">
        <v>460</v>
      </c>
      <c r="Y24" s="137">
        <v>77</v>
      </c>
      <c r="Z24" s="138">
        <v>256</v>
      </c>
      <c r="AA24" s="297">
        <v>446</v>
      </c>
      <c r="AB24" s="300">
        <v>200</v>
      </c>
      <c r="AC24" s="298">
        <v>1639</v>
      </c>
      <c r="AD24" s="298">
        <v>310</v>
      </c>
      <c r="AE24" s="299">
        <v>336</v>
      </c>
      <c r="AF24" s="297">
        <v>603</v>
      </c>
      <c r="AG24" s="300">
        <v>499</v>
      </c>
      <c r="AH24" s="298">
        <v>2758</v>
      </c>
      <c r="AI24" s="298">
        <v>434</v>
      </c>
      <c r="AJ24" s="299">
        <v>668</v>
      </c>
    </row>
    <row r="25" spans="1:36" ht="14.15" customHeight="1" x14ac:dyDescent="0.3">
      <c r="A25" s="142" t="s">
        <v>19</v>
      </c>
      <c r="B25" s="294">
        <v>44926</v>
      </c>
      <c r="C25" s="139">
        <v>37</v>
      </c>
      <c r="D25" s="137">
        <v>31</v>
      </c>
      <c r="E25" s="137">
        <v>466</v>
      </c>
      <c r="F25" s="137">
        <v>21</v>
      </c>
      <c r="G25" s="138">
        <v>47</v>
      </c>
      <c r="H25" s="139">
        <v>145</v>
      </c>
      <c r="I25" s="137">
        <v>95</v>
      </c>
      <c r="J25" s="137">
        <v>466</v>
      </c>
      <c r="K25" s="137">
        <v>92</v>
      </c>
      <c r="L25" s="138">
        <v>148</v>
      </c>
      <c r="M25" s="139">
        <v>30</v>
      </c>
      <c r="N25" s="140">
        <v>8</v>
      </c>
      <c r="O25" s="137">
        <v>20</v>
      </c>
      <c r="P25" s="137">
        <v>18</v>
      </c>
      <c r="Q25" s="139">
        <v>66</v>
      </c>
      <c r="R25" s="140">
        <v>12</v>
      </c>
      <c r="S25" s="137">
        <v>31</v>
      </c>
      <c r="T25" s="137">
        <v>38</v>
      </c>
      <c r="U25" s="138">
        <v>40</v>
      </c>
      <c r="V25" s="139">
        <v>38</v>
      </c>
      <c r="W25" s="140">
        <v>51</v>
      </c>
      <c r="X25" s="137">
        <v>61</v>
      </c>
      <c r="Y25" s="137">
        <v>22</v>
      </c>
      <c r="Z25" s="138">
        <v>67</v>
      </c>
      <c r="AA25" s="297">
        <v>102</v>
      </c>
      <c r="AB25" s="300">
        <v>37</v>
      </c>
      <c r="AC25" s="298">
        <v>293</v>
      </c>
      <c r="AD25" s="298">
        <v>63</v>
      </c>
      <c r="AE25" s="299">
        <v>76</v>
      </c>
      <c r="AF25" s="297">
        <v>154</v>
      </c>
      <c r="AG25" s="300">
        <v>100</v>
      </c>
      <c r="AH25" s="298">
        <v>473</v>
      </c>
      <c r="AI25" s="298">
        <v>95</v>
      </c>
      <c r="AJ25" s="299">
        <v>159</v>
      </c>
    </row>
    <row r="26" spans="1:36" ht="14.15" customHeight="1" x14ac:dyDescent="0.3">
      <c r="A26" s="142" t="s">
        <v>20</v>
      </c>
      <c r="B26" s="294">
        <v>44926</v>
      </c>
      <c r="C26" s="139">
        <v>80</v>
      </c>
      <c r="D26" s="137">
        <v>74</v>
      </c>
      <c r="E26" s="137">
        <v>1397</v>
      </c>
      <c r="F26" s="137">
        <v>60</v>
      </c>
      <c r="G26" s="138">
        <v>94</v>
      </c>
      <c r="H26" s="139">
        <v>361</v>
      </c>
      <c r="I26" s="137">
        <v>226</v>
      </c>
      <c r="J26" s="137">
        <v>1397</v>
      </c>
      <c r="K26" s="137">
        <v>264</v>
      </c>
      <c r="L26" s="138">
        <v>323</v>
      </c>
      <c r="M26" s="139">
        <v>90</v>
      </c>
      <c r="N26" s="140">
        <v>18</v>
      </c>
      <c r="O26" s="137">
        <v>59</v>
      </c>
      <c r="P26" s="137">
        <v>49</v>
      </c>
      <c r="Q26" s="139">
        <v>245</v>
      </c>
      <c r="R26" s="140">
        <v>45</v>
      </c>
      <c r="S26" s="137">
        <v>94</v>
      </c>
      <c r="T26" s="137">
        <v>150</v>
      </c>
      <c r="U26" s="138">
        <v>140</v>
      </c>
      <c r="V26" s="139">
        <v>80</v>
      </c>
      <c r="W26" s="140">
        <v>116</v>
      </c>
      <c r="X26" s="137">
        <v>216</v>
      </c>
      <c r="Y26" s="137">
        <v>64</v>
      </c>
      <c r="Z26" s="138">
        <v>132</v>
      </c>
      <c r="AA26" s="297">
        <v>271</v>
      </c>
      <c r="AB26" s="300">
        <v>101</v>
      </c>
      <c r="AC26" s="298">
        <v>865</v>
      </c>
      <c r="AD26" s="298">
        <v>190</v>
      </c>
      <c r="AE26" s="299">
        <v>182</v>
      </c>
      <c r="AF26" s="297">
        <v>403</v>
      </c>
      <c r="AG26" s="300">
        <v>254</v>
      </c>
      <c r="AH26" s="298">
        <v>1420</v>
      </c>
      <c r="AI26" s="298">
        <v>286</v>
      </c>
      <c r="AJ26" s="299">
        <v>371</v>
      </c>
    </row>
    <row r="27" spans="1:36" ht="14.15" customHeight="1" x14ac:dyDescent="0.3">
      <c r="A27" s="142" t="s">
        <v>21</v>
      </c>
      <c r="B27" s="294">
        <v>44926</v>
      </c>
      <c r="C27" s="139">
        <v>67</v>
      </c>
      <c r="D27" s="137">
        <v>95</v>
      </c>
      <c r="E27" s="137">
        <v>824</v>
      </c>
      <c r="F27" s="137">
        <v>39</v>
      </c>
      <c r="G27" s="138">
        <v>123</v>
      </c>
      <c r="H27" s="139">
        <v>275</v>
      </c>
      <c r="I27" s="137">
        <v>220</v>
      </c>
      <c r="J27" s="137">
        <v>824</v>
      </c>
      <c r="K27" s="137">
        <v>187</v>
      </c>
      <c r="L27" s="138">
        <v>308</v>
      </c>
      <c r="M27" s="139">
        <v>47</v>
      </c>
      <c r="N27" s="140">
        <v>23</v>
      </c>
      <c r="O27" s="137">
        <v>30</v>
      </c>
      <c r="P27" s="137">
        <v>40</v>
      </c>
      <c r="Q27" s="139">
        <v>107</v>
      </c>
      <c r="R27" s="140">
        <v>31</v>
      </c>
      <c r="S27" s="137">
        <v>60</v>
      </c>
      <c r="T27" s="137">
        <v>60</v>
      </c>
      <c r="U27" s="138">
        <v>78</v>
      </c>
      <c r="V27" s="139">
        <v>51</v>
      </c>
      <c r="W27" s="140">
        <v>139</v>
      </c>
      <c r="X27" s="137">
        <v>121</v>
      </c>
      <c r="Y27" s="137">
        <v>41</v>
      </c>
      <c r="Z27" s="138">
        <v>149</v>
      </c>
      <c r="AA27" s="297">
        <v>221</v>
      </c>
      <c r="AB27" s="300">
        <v>75</v>
      </c>
      <c r="AC27" s="298">
        <v>466</v>
      </c>
      <c r="AD27" s="298">
        <v>143</v>
      </c>
      <c r="AE27" s="299">
        <v>153</v>
      </c>
      <c r="AF27" s="297">
        <v>294</v>
      </c>
      <c r="AG27" s="300">
        <v>250</v>
      </c>
      <c r="AH27" s="298">
        <v>833</v>
      </c>
      <c r="AI27" s="298">
        <v>203</v>
      </c>
      <c r="AJ27" s="299">
        <v>341</v>
      </c>
    </row>
    <row r="28" spans="1:36" ht="14.15" customHeight="1" x14ac:dyDescent="0.3">
      <c r="A28" s="142" t="s">
        <v>22</v>
      </c>
      <c r="B28" s="294">
        <v>44926</v>
      </c>
      <c r="C28" s="139">
        <v>46</v>
      </c>
      <c r="D28" s="137">
        <v>78</v>
      </c>
      <c r="E28" s="137">
        <v>1239</v>
      </c>
      <c r="F28" s="137">
        <v>42</v>
      </c>
      <c r="G28" s="138">
        <v>82</v>
      </c>
      <c r="H28" s="139">
        <v>173</v>
      </c>
      <c r="I28" s="137">
        <v>198</v>
      </c>
      <c r="J28" s="137">
        <v>1239</v>
      </c>
      <c r="K28" s="137">
        <v>137</v>
      </c>
      <c r="L28" s="138">
        <v>234</v>
      </c>
      <c r="M28" s="139">
        <v>42</v>
      </c>
      <c r="N28" s="140">
        <v>31</v>
      </c>
      <c r="O28" s="137">
        <v>30</v>
      </c>
      <c r="P28" s="137">
        <v>43</v>
      </c>
      <c r="Q28" s="139">
        <v>75</v>
      </c>
      <c r="R28" s="140">
        <v>27</v>
      </c>
      <c r="S28" s="137">
        <v>98</v>
      </c>
      <c r="T28" s="137">
        <v>47</v>
      </c>
      <c r="U28" s="138">
        <v>55</v>
      </c>
      <c r="V28" s="139">
        <v>31</v>
      </c>
      <c r="W28" s="140">
        <v>104</v>
      </c>
      <c r="X28" s="137">
        <v>171</v>
      </c>
      <c r="Y28" s="137">
        <v>23</v>
      </c>
      <c r="Z28" s="138">
        <v>112</v>
      </c>
      <c r="AA28" s="297">
        <v>137</v>
      </c>
      <c r="AB28" s="300">
        <v>88</v>
      </c>
      <c r="AC28" s="298">
        <v>782</v>
      </c>
      <c r="AD28" s="298">
        <v>110</v>
      </c>
      <c r="AE28" s="299">
        <v>115</v>
      </c>
      <c r="AF28" s="297">
        <v>177</v>
      </c>
      <c r="AG28" s="300">
        <v>228</v>
      </c>
      <c r="AH28" s="298">
        <v>1279</v>
      </c>
      <c r="AI28" s="298">
        <v>146</v>
      </c>
      <c r="AJ28" s="299">
        <v>259</v>
      </c>
    </row>
    <row r="29" spans="1:36" ht="14.15" customHeight="1" x14ac:dyDescent="0.3">
      <c r="A29" s="142" t="s">
        <v>23</v>
      </c>
      <c r="B29" s="294">
        <v>44926</v>
      </c>
      <c r="C29" s="139">
        <v>68</v>
      </c>
      <c r="D29" s="137">
        <v>82</v>
      </c>
      <c r="E29" s="137">
        <v>1897</v>
      </c>
      <c r="F29" s="137">
        <v>43</v>
      </c>
      <c r="G29" s="138">
        <v>107</v>
      </c>
      <c r="H29" s="139">
        <v>248</v>
      </c>
      <c r="I29" s="137">
        <v>205</v>
      </c>
      <c r="J29" s="137">
        <v>1897</v>
      </c>
      <c r="K29" s="137">
        <v>171</v>
      </c>
      <c r="L29" s="138">
        <v>282</v>
      </c>
      <c r="M29" s="139">
        <v>71</v>
      </c>
      <c r="N29" s="140">
        <v>48</v>
      </c>
      <c r="O29" s="137">
        <v>55</v>
      </c>
      <c r="P29" s="137">
        <v>64</v>
      </c>
      <c r="Q29" s="139">
        <v>126</v>
      </c>
      <c r="R29" s="140">
        <v>41</v>
      </c>
      <c r="S29" s="137">
        <v>157</v>
      </c>
      <c r="T29" s="137">
        <v>86</v>
      </c>
      <c r="U29" s="138">
        <v>81</v>
      </c>
      <c r="V29" s="139">
        <v>58</v>
      </c>
      <c r="W29" s="140">
        <v>118</v>
      </c>
      <c r="X29" s="137">
        <v>257</v>
      </c>
      <c r="Y29" s="137">
        <v>42</v>
      </c>
      <c r="Z29" s="138">
        <v>134</v>
      </c>
      <c r="AA29" s="297">
        <v>183</v>
      </c>
      <c r="AB29" s="300">
        <v>80</v>
      </c>
      <c r="AC29" s="298">
        <v>1115</v>
      </c>
      <c r="AD29" s="298">
        <v>124</v>
      </c>
      <c r="AE29" s="299">
        <v>139</v>
      </c>
      <c r="AF29" s="297">
        <v>263</v>
      </c>
      <c r="AG29" s="300">
        <v>229</v>
      </c>
      <c r="AH29" s="298">
        <v>1922</v>
      </c>
      <c r="AI29" s="298">
        <v>181</v>
      </c>
      <c r="AJ29" s="299">
        <v>311</v>
      </c>
    </row>
    <row r="30" spans="1:36" ht="14.15" customHeight="1" x14ac:dyDescent="0.3">
      <c r="A30" s="142" t="s">
        <v>24</v>
      </c>
      <c r="B30" s="294">
        <v>44926</v>
      </c>
      <c r="C30" s="139">
        <v>10</v>
      </c>
      <c r="D30" s="137">
        <v>12</v>
      </c>
      <c r="E30" s="137">
        <v>186</v>
      </c>
      <c r="F30" s="137">
        <v>5</v>
      </c>
      <c r="G30" s="138">
        <v>17</v>
      </c>
      <c r="H30" s="139">
        <v>61</v>
      </c>
      <c r="I30" s="137">
        <v>51</v>
      </c>
      <c r="J30" s="137">
        <v>186</v>
      </c>
      <c r="K30" s="137">
        <v>40</v>
      </c>
      <c r="L30" s="138">
        <v>72</v>
      </c>
      <c r="M30" s="139">
        <v>12</v>
      </c>
      <c r="N30" s="140">
        <v>4</v>
      </c>
      <c r="O30" s="137">
        <v>8</v>
      </c>
      <c r="P30" s="137">
        <v>8</v>
      </c>
      <c r="Q30" s="139">
        <v>28</v>
      </c>
      <c r="R30" s="140">
        <v>7</v>
      </c>
      <c r="S30" s="137">
        <v>15</v>
      </c>
      <c r="T30" s="137">
        <v>16</v>
      </c>
      <c r="U30" s="138">
        <v>19</v>
      </c>
      <c r="V30" s="139">
        <v>8</v>
      </c>
      <c r="W30" s="140">
        <v>30</v>
      </c>
      <c r="X30" s="137">
        <v>26</v>
      </c>
      <c r="Y30" s="137">
        <v>8</v>
      </c>
      <c r="Z30" s="138">
        <v>30</v>
      </c>
      <c r="AA30" s="297">
        <v>52</v>
      </c>
      <c r="AB30" s="300">
        <v>20</v>
      </c>
      <c r="AC30" s="298">
        <v>116</v>
      </c>
      <c r="AD30" s="298">
        <v>32</v>
      </c>
      <c r="AE30" s="299">
        <v>40</v>
      </c>
      <c r="AF30" s="297">
        <v>70</v>
      </c>
      <c r="AG30" s="300">
        <v>54</v>
      </c>
      <c r="AH30" s="298">
        <v>186</v>
      </c>
      <c r="AI30" s="298">
        <v>46</v>
      </c>
      <c r="AJ30" s="299">
        <v>78</v>
      </c>
    </row>
    <row r="31" spans="1:36" ht="14.15" customHeight="1" x14ac:dyDescent="0.3">
      <c r="A31" s="142" t="s">
        <v>25</v>
      </c>
      <c r="B31" s="294">
        <v>44926</v>
      </c>
      <c r="C31" s="139">
        <v>250</v>
      </c>
      <c r="D31" s="137">
        <v>213</v>
      </c>
      <c r="E31" s="137">
        <v>4229</v>
      </c>
      <c r="F31" s="137">
        <v>171</v>
      </c>
      <c r="G31" s="138">
        <v>292</v>
      </c>
      <c r="H31" s="139">
        <v>861</v>
      </c>
      <c r="I31" s="137">
        <v>648</v>
      </c>
      <c r="J31" s="137">
        <v>4229</v>
      </c>
      <c r="K31" s="137">
        <v>625</v>
      </c>
      <c r="L31" s="138">
        <v>884</v>
      </c>
      <c r="M31" s="139">
        <v>141</v>
      </c>
      <c r="N31" s="140">
        <v>86</v>
      </c>
      <c r="O31" s="137">
        <v>121</v>
      </c>
      <c r="P31" s="137">
        <v>106</v>
      </c>
      <c r="Q31" s="139">
        <v>573</v>
      </c>
      <c r="R31" s="140">
        <v>188</v>
      </c>
      <c r="S31" s="137">
        <v>325</v>
      </c>
      <c r="T31" s="137">
        <v>377</v>
      </c>
      <c r="U31" s="138">
        <v>384</v>
      </c>
      <c r="V31" s="139">
        <v>160</v>
      </c>
      <c r="W31" s="140">
        <v>320</v>
      </c>
      <c r="X31" s="137">
        <v>664</v>
      </c>
      <c r="Y31" s="137">
        <v>112</v>
      </c>
      <c r="Z31" s="138">
        <v>368</v>
      </c>
      <c r="AA31" s="297">
        <v>688</v>
      </c>
      <c r="AB31" s="300">
        <v>305</v>
      </c>
      <c r="AC31" s="298">
        <v>2510</v>
      </c>
      <c r="AD31" s="298">
        <v>494</v>
      </c>
      <c r="AE31" s="299">
        <v>499</v>
      </c>
      <c r="AF31" s="297">
        <v>912</v>
      </c>
      <c r="AG31" s="300">
        <v>703</v>
      </c>
      <c r="AH31" s="298">
        <v>4299</v>
      </c>
      <c r="AI31" s="298">
        <v>667</v>
      </c>
      <c r="AJ31" s="299">
        <v>948</v>
      </c>
    </row>
    <row r="32" spans="1:36" ht="14.15" customHeight="1" x14ac:dyDescent="0.3">
      <c r="A32" s="142" t="s">
        <v>26</v>
      </c>
      <c r="B32" s="294">
        <v>44926</v>
      </c>
      <c r="C32" s="139">
        <v>110</v>
      </c>
      <c r="D32" s="137">
        <v>105</v>
      </c>
      <c r="E32" s="137">
        <v>1505</v>
      </c>
      <c r="F32" s="137">
        <v>73</v>
      </c>
      <c r="G32" s="138">
        <v>142</v>
      </c>
      <c r="H32" s="139">
        <v>371</v>
      </c>
      <c r="I32" s="137">
        <v>303</v>
      </c>
      <c r="J32" s="137">
        <v>1505</v>
      </c>
      <c r="K32" s="137">
        <v>291</v>
      </c>
      <c r="L32" s="138">
        <v>383</v>
      </c>
      <c r="M32" s="139">
        <v>64</v>
      </c>
      <c r="N32" s="140">
        <v>49</v>
      </c>
      <c r="O32" s="137">
        <v>54</v>
      </c>
      <c r="P32" s="137">
        <v>59</v>
      </c>
      <c r="Q32" s="139">
        <v>206</v>
      </c>
      <c r="R32" s="140">
        <v>75</v>
      </c>
      <c r="S32" s="137">
        <v>107</v>
      </c>
      <c r="T32" s="137">
        <v>145</v>
      </c>
      <c r="U32" s="138">
        <v>136</v>
      </c>
      <c r="V32" s="139">
        <v>64</v>
      </c>
      <c r="W32" s="140">
        <v>138</v>
      </c>
      <c r="X32" s="137">
        <v>198</v>
      </c>
      <c r="Y32" s="137">
        <v>53</v>
      </c>
      <c r="Z32" s="138">
        <v>149</v>
      </c>
      <c r="AA32" s="297">
        <v>296</v>
      </c>
      <c r="AB32" s="300">
        <v>152</v>
      </c>
      <c r="AC32" s="298">
        <v>995</v>
      </c>
      <c r="AD32" s="298">
        <v>223</v>
      </c>
      <c r="AE32" s="299">
        <v>225</v>
      </c>
      <c r="AF32" s="297">
        <v>409</v>
      </c>
      <c r="AG32" s="300">
        <v>331</v>
      </c>
      <c r="AH32" s="298">
        <v>1529</v>
      </c>
      <c r="AI32" s="298">
        <v>311</v>
      </c>
      <c r="AJ32" s="299">
        <v>429</v>
      </c>
    </row>
    <row r="33" spans="1:36" ht="14.15" customHeight="1" x14ac:dyDescent="0.3">
      <c r="A33" s="142" t="s">
        <v>27</v>
      </c>
      <c r="B33" s="294">
        <v>44926</v>
      </c>
      <c r="C33" s="139">
        <v>45</v>
      </c>
      <c r="D33" s="137">
        <v>35</v>
      </c>
      <c r="E33" s="137">
        <v>652</v>
      </c>
      <c r="F33" s="137">
        <v>30</v>
      </c>
      <c r="G33" s="138">
        <v>50</v>
      </c>
      <c r="H33" s="139">
        <v>158</v>
      </c>
      <c r="I33" s="137">
        <v>104</v>
      </c>
      <c r="J33" s="137">
        <v>652</v>
      </c>
      <c r="K33" s="137">
        <v>114</v>
      </c>
      <c r="L33" s="138">
        <v>148</v>
      </c>
      <c r="M33" s="139">
        <v>34</v>
      </c>
      <c r="N33" s="140">
        <v>14</v>
      </c>
      <c r="O33" s="137">
        <v>23</v>
      </c>
      <c r="P33" s="137">
        <v>25</v>
      </c>
      <c r="Q33" s="139">
        <v>95</v>
      </c>
      <c r="R33" s="140">
        <v>19</v>
      </c>
      <c r="S33" s="137">
        <v>42</v>
      </c>
      <c r="T33" s="137">
        <v>51</v>
      </c>
      <c r="U33" s="138">
        <v>63</v>
      </c>
      <c r="V33" s="139">
        <v>31</v>
      </c>
      <c r="W33" s="140">
        <v>42</v>
      </c>
      <c r="X33" s="137">
        <v>81</v>
      </c>
      <c r="Y33" s="137">
        <v>22</v>
      </c>
      <c r="Z33" s="138">
        <v>51</v>
      </c>
      <c r="AA33" s="297">
        <v>124</v>
      </c>
      <c r="AB33" s="300">
        <v>60</v>
      </c>
      <c r="AC33" s="298">
        <v>378</v>
      </c>
      <c r="AD33" s="298">
        <v>90</v>
      </c>
      <c r="AE33" s="299">
        <v>94</v>
      </c>
      <c r="AF33" s="297">
        <v>167</v>
      </c>
      <c r="AG33" s="300">
        <v>109</v>
      </c>
      <c r="AH33" s="298">
        <v>660</v>
      </c>
      <c r="AI33" s="298">
        <v>119</v>
      </c>
      <c r="AJ33" s="299">
        <v>157</v>
      </c>
    </row>
    <row r="34" spans="1:36" ht="14.15" customHeight="1" x14ac:dyDescent="0.3">
      <c r="A34" s="142" t="s">
        <v>28</v>
      </c>
      <c r="B34" s="294">
        <v>44926</v>
      </c>
      <c r="C34" s="139">
        <v>303</v>
      </c>
      <c r="D34" s="137">
        <v>398</v>
      </c>
      <c r="E34" s="137">
        <v>8268</v>
      </c>
      <c r="F34" s="137">
        <v>199</v>
      </c>
      <c r="G34" s="138">
        <v>502</v>
      </c>
      <c r="H34" s="139">
        <v>1592</v>
      </c>
      <c r="I34" s="137">
        <v>1148</v>
      </c>
      <c r="J34" s="137">
        <v>8267</v>
      </c>
      <c r="K34" s="137">
        <v>1111</v>
      </c>
      <c r="L34" s="138">
        <v>1629</v>
      </c>
      <c r="M34" s="139">
        <v>336</v>
      </c>
      <c r="N34" s="140">
        <v>140</v>
      </c>
      <c r="O34" s="137">
        <v>231</v>
      </c>
      <c r="P34" s="137">
        <v>245</v>
      </c>
      <c r="Q34" s="139">
        <v>853</v>
      </c>
      <c r="R34" s="140">
        <v>283</v>
      </c>
      <c r="S34" s="137">
        <v>467</v>
      </c>
      <c r="T34" s="137">
        <v>549</v>
      </c>
      <c r="U34" s="138">
        <v>587</v>
      </c>
      <c r="V34" s="139">
        <v>274</v>
      </c>
      <c r="W34" s="140">
        <v>621</v>
      </c>
      <c r="X34" s="137">
        <v>1463</v>
      </c>
      <c r="Y34" s="137">
        <v>189</v>
      </c>
      <c r="Z34" s="138">
        <v>706</v>
      </c>
      <c r="AA34" s="297">
        <v>1274</v>
      </c>
      <c r="AB34" s="300">
        <v>460</v>
      </c>
      <c r="AC34" s="298">
        <v>4968</v>
      </c>
      <c r="AD34" s="298">
        <v>866</v>
      </c>
      <c r="AE34" s="299">
        <v>868</v>
      </c>
      <c r="AF34" s="297">
        <v>1707</v>
      </c>
      <c r="AG34" s="300">
        <v>1293</v>
      </c>
      <c r="AH34" s="298">
        <v>8378</v>
      </c>
      <c r="AI34" s="298">
        <v>1197</v>
      </c>
      <c r="AJ34" s="299">
        <v>1803</v>
      </c>
    </row>
    <row r="35" spans="1:36" ht="14.15" customHeight="1" x14ac:dyDescent="0.3"/>
    <row r="36" spans="1:36" s="223" customFormat="1" ht="14.15" hidden="1" customHeight="1" x14ac:dyDescent="0.3">
      <c r="A36" s="224" t="s">
        <v>38</v>
      </c>
      <c r="B36" s="226"/>
      <c r="C36" s="225">
        <f>SUM(C8:D8)</f>
        <v>4906</v>
      </c>
      <c r="D36" s="226"/>
      <c r="E36" s="226"/>
      <c r="F36" s="225">
        <f>SUM(F8:G8)</f>
        <v>4906</v>
      </c>
      <c r="G36" s="226"/>
      <c r="H36" s="225">
        <f>SUM(H8:I8)</f>
        <v>17184</v>
      </c>
      <c r="I36" s="226"/>
      <c r="J36" s="226"/>
      <c r="K36" s="225">
        <f>SUM(K8:L8)</f>
        <v>17184</v>
      </c>
      <c r="L36" s="226"/>
      <c r="M36" s="224">
        <f>SUM(M8:N8)</f>
        <v>2949</v>
      </c>
      <c r="N36" s="226"/>
      <c r="O36" s="224">
        <f>SUM(O8:P8)</f>
        <v>2949</v>
      </c>
      <c r="P36" s="226"/>
      <c r="Q36" s="224">
        <f>SUM(Q8:R8)</f>
        <v>7134</v>
      </c>
      <c r="R36" s="226"/>
      <c r="S36" s="226"/>
      <c r="T36" s="224">
        <f>SUM(T8:U8)</f>
        <v>7134</v>
      </c>
      <c r="U36" s="226"/>
      <c r="V36" s="224">
        <f>SUM(V8:W8)</f>
        <v>5563</v>
      </c>
      <c r="W36" s="226"/>
      <c r="X36" s="226"/>
      <c r="Y36" s="224">
        <f>SUM(Y8:Z8)</f>
        <v>5563</v>
      </c>
      <c r="Z36" s="226"/>
      <c r="AA36" s="224">
        <f>SUM(AA8:AB8)</f>
        <v>11007</v>
      </c>
      <c r="AB36" s="226"/>
      <c r="AC36" s="226"/>
      <c r="AD36" s="224">
        <f>SUM(AD8:AE8)</f>
        <v>11007</v>
      </c>
      <c r="AE36" s="226"/>
      <c r="AF36" s="224">
        <f>SUM(AF8:AG8)</f>
        <v>18759</v>
      </c>
      <c r="AG36" s="226"/>
      <c r="AH36" s="226"/>
      <c r="AI36" s="224">
        <f>SUM(AI8:AJ8)</f>
        <v>18759</v>
      </c>
      <c r="AJ36" s="226"/>
    </row>
    <row r="37" spans="1:36" ht="14.15" customHeight="1" x14ac:dyDescent="0.3"/>
    <row r="38" spans="1:36" ht="14.15" customHeight="1" x14ac:dyDescent="0.3"/>
    <row r="39" spans="1:36" ht="14.15" customHeight="1" x14ac:dyDescent="0.3"/>
    <row r="40" spans="1:36" ht="14.15" customHeight="1" x14ac:dyDescent="0.3"/>
    <row r="41" spans="1:36" ht="14.15" customHeight="1" x14ac:dyDescent="0.3"/>
    <row r="42" spans="1:36" ht="14.15" customHeight="1" x14ac:dyDescent="0.3"/>
    <row r="43" spans="1:36" ht="14.15" customHeight="1" x14ac:dyDescent="0.3"/>
    <row r="44" spans="1:36" ht="14.15" customHeight="1" x14ac:dyDescent="0.3"/>
    <row r="45" spans="1:36" ht="14.15" customHeight="1" x14ac:dyDescent="0.3"/>
    <row r="46" spans="1:36" ht="14.15" customHeight="1" x14ac:dyDescent="0.3"/>
    <row r="47" spans="1:36" ht="14.15" customHeight="1" x14ac:dyDescent="0.3"/>
    <row r="48" spans="1:36" ht="14.15" customHeight="1" x14ac:dyDescent="0.3"/>
    <row r="49" ht="14.15" customHeight="1" x14ac:dyDescent="0.3"/>
    <row r="50" ht="14.15" customHeight="1" x14ac:dyDescent="0.3"/>
    <row r="51" ht="14.15" customHeight="1" x14ac:dyDescent="0.3"/>
    <row r="52" ht="14.15" customHeight="1" x14ac:dyDescent="0.3"/>
  </sheetData>
  <sheetProtection algorithmName="SHA-512" hashValue="/Bm3ZVocfhW6XYHiymPXEP0C3p4/XGDd+X1HG6QXsQgNQI8RFy9M2W/rIa89O1T8KwfUO8sJdjNLSMDBler7Og==" saltValue="2//gZpBd0iDF8jXwAftH0A==" spinCount="100000" sheet="1" selectLockedCells="1" selectUnlockedCells="1"/>
  <customSheetViews>
    <customSheetView guid="{168849A9-FED9-4458-942F-290616B3A25C}" scale="60" showPageBreaks="1" showGridLines="0" printArea="1" hiddenRows="1">
      <selection activeCell="A3" sqref="A3:N3"/>
      <pageMargins left="0.70866141732283472" right="0.70866141732283472" top="1.3779527559055118" bottom="0.78740157480314965" header="0.31496062992125984" footer="0.31496062992125984"/>
      <pageSetup paperSize="8" scale="95" orientation="landscape" horizontalDpi="90" verticalDpi="90" r:id="rId1"/>
      <headerFooter>
        <oddHeader>&amp;LKennzahlen KIP / IAS&amp;R&amp;G</oddHeader>
        <oddFooter>&amp;L&amp;A&amp;R&amp;P</oddFooter>
      </headerFooter>
    </customSheetView>
  </customSheetViews>
  <mergeCells count="18">
    <mergeCell ref="A1:Q1"/>
    <mergeCell ref="A3:Q3"/>
    <mergeCell ref="A5:A7"/>
    <mergeCell ref="B5:B7"/>
    <mergeCell ref="H5:L5"/>
    <mergeCell ref="M5:P5"/>
    <mergeCell ref="C5:G5"/>
    <mergeCell ref="C6:G6"/>
    <mergeCell ref="V6:Z6"/>
    <mergeCell ref="AF6:AJ6"/>
    <mergeCell ref="AF5:AJ5"/>
    <mergeCell ref="H6:L6"/>
    <mergeCell ref="M6:P6"/>
    <mergeCell ref="Q6:U6"/>
    <mergeCell ref="Q5:U5"/>
    <mergeCell ref="V5:Z5"/>
    <mergeCell ref="AA5:AE5"/>
    <mergeCell ref="AA6:AE6"/>
  </mergeCells>
  <pageMargins left="0.70866141732283472" right="0.70866141732283472" top="1.3779527559055118" bottom="0.78740157480314965" header="0.31496062992125984" footer="0.31496062992125984"/>
  <pageSetup paperSize="8" scale="95" orientation="landscape" horizontalDpi="90" verticalDpi="90" r:id="rId2"/>
  <headerFooter>
    <oddHeader>&amp;LKennzahlen KIP / IAS&amp;R&amp;G</oddHeader>
    <oddFooter>&amp;L&amp;A&amp;R&amp;P</oddFooter>
  </headerFooter>
  <legacyDrawingHF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18">
    <tabColor theme="7"/>
  </sheetPr>
  <dimension ref="A1:AF52"/>
  <sheetViews>
    <sheetView showGridLines="0" zoomScale="75" zoomScaleNormal="75" workbookViewId="0">
      <selection activeCell="P16" sqref="P16"/>
    </sheetView>
  </sheetViews>
  <sheetFormatPr baseColWidth="10" defaultRowHeight="14" x14ac:dyDescent="0.3"/>
  <cols>
    <col min="3" max="9" width="13.08203125" customWidth="1"/>
    <col min="10" max="10" width="13.08203125" hidden="1" customWidth="1"/>
    <col min="11" max="32" width="13.08203125" customWidth="1"/>
  </cols>
  <sheetData>
    <row r="1" spans="1:32" ht="30" x14ac:dyDescent="0.3">
      <c r="A1" s="556" t="s">
        <v>209</v>
      </c>
      <c r="B1" s="556"/>
      <c r="C1" s="556"/>
      <c r="D1" s="556"/>
      <c r="E1" s="556"/>
      <c r="F1" s="556"/>
      <c r="G1" s="556"/>
      <c r="H1" s="556"/>
      <c r="I1" s="556"/>
      <c r="J1" s="556"/>
      <c r="K1" s="556"/>
      <c r="L1" s="556"/>
      <c r="M1" s="556"/>
      <c r="N1" s="556"/>
      <c r="O1" s="556"/>
      <c r="P1" s="556"/>
      <c r="Q1" s="556"/>
    </row>
    <row r="3" spans="1:32" ht="20.149999999999999" customHeight="1" x14ac:dyDescent="0.3">
      <c r="A3" s="547" t="s">
        <v>208</v>
      </c>
      <c r="B3" s="548"/>
      <c r="C3" s="548"/>
      <c r="D3" s="548"/>
      <c r="E3" s="548"/>
      <c r="F3" s="548"/>
      <c r="G3" s="548"/>
      <c r="H3" s="548"/>
      <c r="I3" s="548"/>
      <c r="J3" s="548"/>
      <c r="K3" s="548"/>
      <c r="L3" s="548"/>
      <c r="M3" s="548"/>
      <c r="N3" s="548"/>
      <c r="O3" s="548"/>
      <c r="P3" s="548"/>
      <c r="Q3" s="549"/>
    </row>
    <row r="4" spans="1:32" ht="14.5" thickBot="1" x14ac:dyDescent="0.35">
      <c r="F4" s="175"/>
      <c r="K4" s="175"/>
      <c r="P4" s="175"/>
      <c r="U4" s="175"/>
      <c r="Z4" s="175"/>
      <c r="AE4" s="175"/>
    </row>
    <row r="5" spans="1:32" ht="14.5" thickBot="1" x14ac:dyDescent="0.35">
      <c r="A5" s="550" t="s">
        <v>162</v>
      </c>
      <c r="B5" s="553" t="s">
        <v>163</v>
      </c>
      <c r="C5" s="543" t="s">
        <v>157</v>
      </c>
      <c r="D5" s="544"/>
      <c r="E5" s="544"/>
      <c r="F5" s="544"/>
      <c r="G5" s="545"/>
      <c r="H5" s="543" t="s">
        <v>158</v>
      </c>
      <c r="I5" s="544"/>
      <c r="J5" s="544"/>
      <c r="K5" s="544"/>
      <c r="L5" s="545"/>
      <c r="M5" s="543" t="s">
        <v>159</v>
      </c>
      <c r="N5" s="544"/>
      <c r="O5" s="544"/>
      <c r="P5" s="544"/>
      <c r="Q5" s="545"/>
      <c r="R5" s="543" t="s">
        <v>164</v>
      </c>
      <c r="S5" s="544"/>
      <c r="T5" s="544"/>
      <c r="U5" s="544"/>
      <c r="V5" s="545"/>
      <c r="W5" s="543" t="s">
        <v>165</v>
      </c>
      <c r="X5" s="544"/>
      <c r="Y5" s="544"/>
      <c r="Z5" s="544"/>
      <c r="AA5" s="545"/>
      <c r="AB5" s="543" t="s">
        <v>166</v>
      </c>
      <c r="AC5" s="544"/>
      <c r="AD5" s="544"/>
      <c r="AE5" s="544"/>
      <c r="AF5" s="545"/>
    </row>
    <row r="6" spans="1:32" ht="59.15" customHeight="1" x14ac:dyDescent="0.3">
      <c r="A6" s="551"/>
      <c r="B6" s="554"/>
      <c r="C6" s="540" t="s">
        <v>201</v>
      </c>
      <c r="D6" s="541"/>
      <c r="E6" s="541"/>
      <c r="F6" s="541"/>
      <c r="G6" s="542"/>
      <c r="H6" s="540" t="s">
        <v>202</v>
      </c>
      <c r="I6" s="541"/>
      <c r="J6" s="541"/>
      <c r="K6" s="541"/>
      <c r="L6" s="542"/>
      <c r="M6" s="540" t="s">
        <v>203</v>
      </c>
      <c r="N6" s="541"/>
      <c r="O6" s="541"/>
      <c r="P6" s="541"/>
      <c r="Q6" s="542"/>
      <c r="R6" s="540" t="s">
        <v>204</v>
      </c>
      <c r="S6" s="541"/>
      <c r="T6" s="541"/>
      <c r="U6" s="541"/>
      <c r="V6" s="542"/>
      <c r="W6" s="540" t="s">
        <v>205</v>
      </c>
      <c r="X6" s="541"/>
      <c r="Y6" s="541"/>
      <c r="Z6" s="541"/>
      <c r="AA6" s="542"/>
      <c r="AB6" s="540" t="s">
        <v>206</v>
      </c>
      <c r="AC6" s="541"/>
      <c r="AD6" s="541"/>
      <c r="AE6" s="541"/>
      <c r="AF6" s="542"/>
    </row>
    <row r="7" spans="1:32" ht="14.15" customHeight="1" thickBot="1" x14ac:dyDescent="0.35">
      <c r="A7" s="552"/>
      <c r="B7" s="555"/>
      <c r="C7" s="180" t="s">
        <v>160</v>
      </c>
      <c r="D7" s="179" t="s">
        <v>161</v>
      </c>
      <c r="E7" s="179" t="s">
        <v>207</v>
      </c>
      <c r="F7" s="179" t="s">
        <v>119</v>
      </c>
      <c r="G7" s="179" t="s">
        <v>120</v>
      </c>
      <c r="H7" s="180" t="s">
        <v>160</v>
      </c>
      <c r="I7" s="179" t="s">
        <v>161</v>
      </c>
      <c r="J7" s="179" t="s">
        <v>207</v>
      </c>
      <c r="K7" s="179" t="s">
        <v>119</v>
      </c>
      <c r="L7" s="179" t="s">
        <v>120</v>
      </c>
      <c r="M7" s="180" t="s">
        <v>160</v>
      </c>
      <c r="N7" s="179" t="s">
        <v>161</v>
      </c>
      <c r="O7" s="179" t="s">
        <v>207</v>
      </c>
      <c r="P7" s="179" t="s">
        <v>119</v>
      </c>
      <c r="Q7" s="179" t="s">
        <v>120</v>
      </c>
      <c r="R7" s="180" t="s">
        <v>160</v>
      </c>
      <c r="S7" s="179" t="s">
        <v>161</v>
      </c>
      <c r="T7" s="179" t="s">
        <v>207</v>
      </c>
      <c r="U7" s="179" t="s">
        <v>119</v>
      </c>
      <c r="V7" s="179" t="s">
        <v>120</v>
      </c>
      <c r="W7" s="180" t="s">
        <v>160</v>
      </c>
      <c r="X7" s="179" t="s">
        <v>161</v>
      </c>
      <c r="Y7" s="179" t="s">
        <v>207</v>
      </c>
      <c r="Z7" s="179" t="s">
        <v>119</v>
      </c>
      <c r="AA7" s="179" t="s">
        <v>120</v>
      </c>
      <c r="AB7" s="180" t="s">
        <v>160</v>
      </c>
      <c r="AC7" s="179" t="s">
        <v>161</v>
      </c>
      <c r="AD7" s="179" t="s">
        <v>207</v>
      </c>
      <c r="AE7" s="179" t="s">
        <v>119</v>
      </c>
      <c r="AF7" s="179" t="s">
        <v>120</v>
      </c>
    </row>
    <row r="8" spans="1:32" ht="14.15" customHeight="1" x14ac:dyDescent="0.3">
      <c r="A8" s="182" t="s">
        <v>35</v>
      </c>
      <c r="B8" s="183">
        <v>44926</v>
      </c>
      <c r="C8" s="184">
        <v>14479</v>
      </c>
      <c r="D8" s="184">
        <v>9729</v>
      </c>
      <c r="E8" s="344">
        <v>44461</v>
      </c>
      <c r="F8" s="185">
        <v>10619</v>
      </c>
      <c r="G8" s="185">
        <v>13589</v>
      </c>
      <c r="H8" s="184">
        <v>2297</v>
      </c>
      <c r="I8" s="184">
        <v>1026</v>
      </c>
      <c r="J8" s="184"/>
      <c r="K8" s="184">
        <v>1659</v>
      </c>
      <c r="L8" s="184">
        <v>1664</v>
      </c>
      <c r="M8" s="184">
        <v>6071</v>
      </c>
      <c r="N8" s="184">
        <v>1940</v>
      </c>
      <c r="O8" s="184">
        <v>3054</v>
      </c>
      <c r="P8" s="184">
        <v>3927</v>
      </c>
      <c r="Q8" s="184">
        <v>4084</v>
      </c>
      <c r="R8" s="184">
        <v>2562</v>
      </c>
      <c r="S8" s="184">
        <v>4757</v>
      </c>
      <c r="T8" s="184">
        <v>7019</v>
      </c>
      <c r="U8" s="184">
        <v>1897</v>
      </c>
      <c r="V8" s="184">
        <v>5422</v>
      </c>
      <c r="W8" s="184">
        <v>11404</v>
      </c>
      <c r="X8" s="184">
        <v>4456</v>
      </c>
      <c r="Y8" s="184">
        <v>27016</v>
      </c>
      <c r="Z8" s="184">
        <v>8211</v>
      </c>
      <c r="AA8" s="184">
        <v>7649</v>
      </c>
      <c r="AB8" s="184">
        <v>16349</v>
      </c>
      <c r="AC8" s="184">
        <v>11266</v>
      </c>
      <c r="AD8" s="184">
        <v>45186</v>
      </c>
      <c r="AE8" s="184">
        <v>11815</v>
      </c>
      <c r="AF8" s="184">
        <v>15800</v>
      </c>
    </row>
    <row r="9" spans="1:32" ht="14.15" customHeight="1" x14ac:dyDescent="0.3">
      <c r="A9" s="142" t="s">
        <v>6</v>
      </c>
      <c r="B9" s="141">
        <v>44926</v>
      </c>
      <c r="C9" s="296">
        <v>1324</v>
      </c>
      <c r="D9" s="298">
        <v>776</v>
      </c>
      <c r="E9" s="298">
        <v>3340</v>
      </c>
      <c r="F9" s="137">
        <v>859</v>
      </c>
      <c r="G9" s="138">
        <v>1241</v>
      </c>
      <c r="H9" s="136">
        <v>234</v>
      </c>
      <c r="I9" s="137">
        <v>76</v>
      </c>
      <c r="J9" s="137"/>
      <c r="K9" s="137">
        <v>145</v>
      </c>
      <c r="L9" s="178">
        <v>165</v>
      </c>
      <c r="M9" s="136">
        <v>459</v>
      </c>
      <c r="N9" s="137">
        <v>91</v>
      </c>
      <c r="O9" s="137">
        <v>222</v>
      </c>
      <c r="P9" s="137">
        <v>298</v>
      </c>
      <c r="Q9" s="138">
        <v>252</v>
      </c>
      <c r="R9" s="296">
        <v>232</v>
      </c>
      <c r="S9" s="298">
        <v>422</v>
      </c>
      <c r="T9" s="298">
        <v>513</v>
      </c>
      <c r="U9" s="298">
        <v>153</v>
      </c>
      <c r="V9" s="299">
        <v>501</v>
      </c>
      <c r="W9" s="136">
        <v>1034</v>
      </c>
      <c r="X9" s="137">
        <v>316</v>
      </c>
      <c r="Y9" s="137">
        <v>2089</v>
      </c>
      <c r="Z9" s="137">
        <v>669</v>
      </c>
      <c r="AA9" s="138">
        <v>681</v>
      </c>
      <c r="AB9" s="296">
        <v>1496</v>
      </c>
      <c r="AC9" s="298">
        <v>922</v>
      </c>
      <c r="AD9" s="298">
        <v>3392</v>
      </c>
      <c r="AE9" s="298">
        <v>974</v>
      </c>
      <c r="AF9" s="299">
        <v>1444</v>
      </c>
    </row>
    <row r="10" spans="1:32" ht="14.15" customHeight="1" x14ac:dyDescent="0.3">
      <c r="A10" s="142" t="s">
        <v>5</v>
      </c>
      <c r="B10" s="141">
        <v>44926</v>
      </c>
      <c r="C10" s="297">
        <v>41</v>
      </c>
      <c r="D10" s="298">
        <v>22</v>
      </c>
      <c r="E10" s="298">
        <v>86</v>
      </c>
      <c r="F10" s="137">
        <v>21</v>
      </c>
      <c r="G10" s="138">
        <v>42</v>
      </c>
      <c r="H10" s="139">
        <v>3</v>
      </c>
      <c r="I10" s="137">
        <v>5</v>
      </c>
      <c r="J10" s="137"/>
      <c r="K10" s="137">
        <v>4</v>
      </c>
      <c r="L10" s="137">
        <v>4</v>
      </c>
      <c r="M10" s="139">
        <v>11</v>
      </c>
      <c r="N10" s="140">
        <v>1</v>
      </c>
      <c r="O10" s="137">
        <v>7</v>
      </c>
      <c r="P10" s="137">
        <v>7</v>
      </c>
      <c r="Q10" s="138">
        <v>5</v>
      </c>
      <c r="R10" s="297">
        <v>10</v>
      </c>
      <c r="S10" s="300">
        <v>12</v>
      </c>
      <c r="T10" s="300">
        <v>20</v>
      </c>
      <c r="U10" s="300">
        <v>5</v>
      </c>
      <c r="V10" s="299">
        <v>17</v>
      </c>
      <c r="W10" s="139">
        <v>30</v>
      </c>
      <c r="X10" s="140">
        <v>10</v>
      </c>
      <c r="Y10" s="140">
        <v>53</v>
      </c>
      <c r="Z10" s="140">
        <v>16</v>
      </c>
      <c r="AA10" s="138">
        <v>24</v>
      </c>
      <c r="AB10" s="297">
        <v>43</v>
      </c>
      <c r="AC10" s="300">
        <v>22</v>
      </c>
      <c r="AD10" s="300">
        <v>87</v>
      </c>
      <c r="AE10" s="300">
        <v>22</v>
      </c>
      <c r="AF10" s="299">
        <v>43</v>
      </c>
    </row>
    <row r="11" spans="1:32" ht="14.15" customHeight="1" x14ac:dyDescent="0.3">
      <c r="A11" s="142" t="s">
        <v>4</v>
      </c>
      <c r="B11" s="141">
        <v>44926</v>
      </c>
      <c r="C11" s="297">
        <v>115</v>
      </c>
      <c r="D11" s="298">
        <v>74</v>
      </c>
      <c r="E11" s="298">
        <v>304</v>
      </c>
      <c r="F11" s="137">
        <v>76</v>
      </c>
      <c r="G11" s="138">
        <v>113</v>
      </c>
      <c r="H11" s="139">
        <v>14</v>
      </c>
      <c r="I11" s="137">
        <v>8</v>
      </c>
      <c r="J11" s="137"/>
      <c r="K11" s="137">
        <v>11</v>
      </c>
      <c r="L11" s="137">
        <v>11</v>
      </c>
      <c r="M11" s="139">
        <v>55</v>
      </c>
      <c r="N11" s="140">
        <v>10</v>
      </c>
      <c r="O11" s="137">
        <v>28</v>
      </c>
      <c r="P11" s="137">
        <v>36</v>
      </c>
      <c r="Q11" s="138">
        <v>29</v>
      </c>
      <c r="R11" s="297">
        <v>20</v>
      </c>
      <c r="S11" s="300">
        <v>40</v>
      </c>
      <c r="T11" s="300">
        <v>50</v>
      </c>
      <c r="U11" s="300">
        <v>14</v>
      </c>
      <c r="V11" s="299">
        <v>46</v>
      </c>
      <c r="W11" s="139">
        <v>92</v>
      </c>
      <c r="X11" s="140">
        <v>30</v>
      </c>
      <c r="Y11" s="140">
        <v>182</v>
      </c>
      <c r="Z11" s="140">
        <v>60</v>
      </c>
      <c r="AA11" s="138">
        <v>62</v>
      </c>
      <c r="AB11" s="297">
        <v>136</v>
      </c>
      <c r="AC11" s="300">
        <v>82</v>
      </c>
      <c r="AD11" s="300">
        <v>311</v>
      </c>
      <c r="AE11" s="300">
        <v>83</v>
      </c>
      <c r="AF11" s="299">
        <v>135</v>
      </c>
    </row>
    <row r="12" spans="1:32" ht="14.15" customHeight="1" x14ac:dyDescent="0.3">
      <c r="A12" s="142" t="s">
        <v>7</v>
      </c>
      <c r="B12" s="141">
        <v>44926</v>
      </c>
      <c r="C12" s="297">
        <v>1887</v>
      </c>
      <c r="D12" s="298">
        <v>1244</v>
      </c>
      <c r="E12" s="298">
        <v>5083</v>
      </c>
      <c r="F12" s="137">
        <v>1370</v>
      </c>
      <c r="G12" s="138">
        <v>1761</v>
      </c>
      <c r="H12" s="139">
        <v>288</v>
      </c>
      <c r="I12" s="137">
        <v>141</v>
      </c>
      <c r="J12" s="137"/>
      <c r="K12" s="137">
        <v>218</v>
      </c>
      <c r="L12" s="137">
        <v>211</v>
      </c>
      <c r="M12" s="139">
        <v>883</v>
      </c>
      <c r="N12" s="140">
        <v>306</v>
      </c>
      <c r="O12" s="137">
        <v>360</v>
      </c>
      <c r="P12" s="137">
        <v>573</v>
      </c>
      <c r="Q12" s="138">
        <v>616</v>
      </c>
      <c r="R12" s="297">
        <v>281</v>
      </c>
      <c r="S12" s="300">
        <v>591</v>
      </c>
      <c r="T12" s="300">
        <v>815</v>
      </c>
      <c r="U12" s="300">
        <v>214</v>
      </c>
      <c r="V12" s="299">
        <v>658</v>
      </c>
      <c r="W12" s="139">
        <v>1530</v>
      </c>
      <c r="X12" s="140">
        <v>593</v>
      </c>
      <c r="Y12" s="140">
        <v>3098</v>
      </c>
      <c r="Z12" s="140">
        <v>1081</v>
      </c>
      <c r="AA12" s="138">
        <v>1042</v>
      </c>
      <c r="AB12" s="297">
        <v>2140</v>
      </c>
      <c r="AC12" s="300">
        <v>1438</v>
      </c>
      <c r="AD12" s="300">
        <v>5191</v>
      </c>
      <c r="AE12" s="300">
        <v>1534</v>
      </c>
      <c r="AF12" s="299">
        <v>2044</v>
      </c>
    </row>
    <row r="13" spans="1:32" ht="14.15" customHeight="1" x14ac:dyDescent="0.3">
      <c r="A13" s="142" t="s">
        <v>8</v>
      </c>
      <c r="B13" s="141">
        <v>44926</v>
      </c>
      <c r="C13" s="297">
        <v>328</v>
      </c>
      <c r="D13" s="298">
        <v>229</v>
      </c>
      <c r="E13" s="298">
        <v>1474</v>
      </c>
      <c r="F13" s="137">
        <v>251</v>
      </c>
      <c r="G13" s="138">
        <v>306</v>
      </c>
      <c r="H13" s="139">
        <v>60</v>
      </c>
      <c r="I13" s="140">
        <v>34</v>
      </c>
      <c r="J13" s="137"/>
      <c r="K13" s="137">
        <v>50</v>
      </c>
      <c r="L13" s="137">
        <v>44</v>
      </c>
      <c r="M13" s="139">
        <v>148</v>
      </c>
      <c r="N13" s="140">
        <v>46</v>
      </c>
      <c r="O13" s="137">
        <v>110</v>
      </c>
      <c r="P13" s="137">
        <v>104</v>
      </c>
      <c r="Q13" s="138">
        <v>90</v>
      </c>
      <c r="R13" s="297">
        <v>76</v>
      </c>
      <c r="S13" s="300">
        <v>138</v>
      </c>
      <c r="T13" s="300">
        <v>213</v>
      </c>
      <c r="U13" s="300">
        <v>57</v>
      </c>
      <c r="V13" s="299">
        <v>157</v>
      </c>
      <c r="W13" s="139">
        <v>241</v>
      </c>
      <c r="X13" s="140">
        <v>83</v>
      </c>
      <c r="Y13" s="140">
        <v>906</v>
      </c>
      <c r="Z13" s="140">
        <v>187</v>
      </c>
      <c r="AA13" s="138">
        <v>137</v>
      </c>
      <c r="AB13" s="297">
        <v>383</v>
      </c>
      <c r="AC13" s="300">
        <v>271</v>
      </c>
      <c r="AD13" s="300">
        <v>1504</v>
      </c>
      <c r="AE13" s="300">
        <v>275</v>
      </c>
      <c r="AF13" s="299">
        <v>379</v>
      </c>
    </row>
    <row r="14" spans="1:32" ht="14.15" customHeight="1" x14ac:dyDescent="0.3">
      <c r="A14" s="142" t="s">
        <v>9</v>
      </c>
      <c r="B14" s="141">
        <v>44926</v>
      </c>
      <c r="C14" s="297">
        <v>317</v>
      </c>
      <c r="D14" s="298">
        <v>164</v>
      </c>
      <c r="E14" s="298">
        <v>1227</v>
      </c>
      <c r="F14" s="137">
        <v>237</v>
      </c>
      <c r="G14" s="138">
        <v>244</v>
      </c>
      <c r="H14" s="139">
        <v>55</v>
      </c>
      <c r="I14" s="140">
        <v>29</v>
      </c>
      <c r="J14" s="137"/>
      <c r="K14" s="137">
        <v>44</v>
      </c>
      <c r="L14" s="137">
        <v>40</v>
      </c>
      <c r="M14" s="139">
        <v>115</v>
      </c>
      <c r="N14" s="140">
        <v>39</v>
      </c>
      <c r="O14" s="137">
        <v>69</v>
      </c>
      <c r="P14" s="137">
        <v>82</v>
      </c>
      <c r="Q14" s="138">
        <v>72</v>
      </c>
      <c r="R14" s="297">
        <v>63</v>
      </c>
      <c r="S14" s="300">
        <v>72</v>
      </c>
      <c r="T14" s="300">
        <v>202</v>
      </c>
      <c r="U14" s="300">
        <v>45</v>
      </c>
      <c r="V14" s="299">
        <v>90</v>
      </c>
      <c r="W14" s="139">
        <v>239</v>
      </c>
      <c r="X14" s="140">
        <v>72</v>
      </c>
      <c r="Y14" s="137">
        <v>717</v>
      </c>
      <c r="Z14" s="137">
        <v>172</v>
      </c>
      <c r="AA14" s="138">
        <v>139</v>
      </c>
      <c r="AB14" s="297">
        <v>348</v>
      </c>
      <c r="AC14" s="300">
        <v>195</v>
      </c>
      <c r="AD14" s="298">
        <v>1243</v>
      </c>
      <c r="AE14" s="298">
        <v>257</v>
      </c>
      <c r="AF14" s="299">
        <v>286</v>
      </c>
    </row>
    <row r="15" spans="1:32" ht="14.15" customHeight="1" x14ac:dyDescent="0.3">
      <c r="A15" s="142" t="s">
        <v>10</v>
      </c>
      <c r="B15" s="141">
        <v>44926</v>
      </c>
      <c r="C15" s="297">
        <v>480</v>
      </c>
      <c r="D15" s="298">
        <v>354</v>
      </c>
      <c r="E15" s="298">
        <v>1714</v>
      </c>
      <c r="F15" s="137">
        <v>374</v>
      </c>
      <c r="G15" s="138">
        <v>460</v>
      </c>
      <c r="H15" s="139">
        <v>93</v>
      </c>
      <c r="I15" s="140">
        <v>29</v>
      </c>
      <c r="J15" s="137"/>
      <c r="K15" s="137">
        <v>64</v>
      </c>
      <c r="L15" s="137">
        <v>58</v>
      </c>
      <c r="M15" s="139">
        <v>256</v>
      </c>
      <c r="N15" s="140">
        <v>53</v>
      </c>
      <c r="O15" s="137">
        <v>118</v>
      </c>
      <c r="P15" s="137">
        <v>148</v>
      </c>
      <c r="Q15" s="138">
        <v>161</v>
      </c>
      <c r="R15" s="297">
        <v>101</v>
      </c>
      <c r="S15" s="300">
        <v>170</v>
      </c>
      <c r="T15" s="298">
        <v>315</v>
      </c>
      <c r="U15" s="298">
        <v>65</v>
      </c>
      <c r="V15" s="299">
        <v>206</v>
      </c>
      <c r="W15" s="139">
        <v>359</v>
      </c>
      <c r="X15" s="140">
        <v>161</v>
      </c>
      <c r="Y15" s="137">
        <v>1014</v>
      </c>
      <c r="Z15" s="137">
        <v>289</v>
      </c>
      <c r="AA15" s="138">
        <v>231</v>
      </c>
      <c r="AB15" s="297">
        <v>547</v>
      </c>
      <c r="AC15" s="300">
        <v>411</v>
      </c>
      <c r="AD15" s="298">
        <v>1742</v>
      </c>
      <c r="AE15" s="298">
        <v>419</v>
      </c>
      <c r="AF15" s="299">
        <v>539</v>
      </c>
    </row>
    <row r="16" spans="1:32" ht="14.15" customHeight="1" x14ac:dyDescent="0.3">
      <c r="A16" s="142" t="s">
        <v>11</v>
      </c>
      <c r="B16" s="141">
        <v>44926</v>
      </c>
      <c r="C16" s="297">
        <v>1060</v>
      </c>
      <c r="D16" s="298">
        <v>707</v>
      </c>
      <c r="E16" s="298">
        <v>2940</v>
      </c>
      <c r="F16" s="137">
        <v>827</v>
      </c>
      <c r="G16" s="138">
        <v>940</v>
      </c>
      <c r="H16" s="139">
        <v>143</v>
      </c>
      <c r="I16" s="140">
        <v>73</v>
      </c>
      <c r="J16" s="137"/>
      <c r="K16" s="137">
        <v>101</v>
      </c>
      <c r="L16" s="137">
        <v>115</v>
      </c>
      <c r="M16" s="139">
        <v>412</v>
      </c>
      <c r="N16" s="140">
        <v>141</v>
      </c>
      <c r="O16" s="137">
        <v>197</v>
      </c>
      <c r="P16" s="137">
        <v>265</v>
      </c>
      <c r="Q16" s="138">
        <v>288</v>
      </c>
      <c r="R16" s="297">
        <v>184</v>
      </c>
      <c r="S16" s="300">
        <v>269</v>
      </c>
      <c r="T16" s="298">
        <v>402</v>
      </c>
      <c r="U16" s="298">
        <v>142</v>
      </c>
      <c r="V16" s="299">
        <v>311</v>
      </c>
      <c r="W16" s="139">
        <v>832</v>
      </c>
      <c r="X16" s="140">
        <v>381</v>
      </c>
      <c r="Y16" s="137">
        <v>1740</v>
      </c>
      <c r="Z16" s="137">
        <v>633</v>
      </c>
      <c r="AA16" s="138">
        <v>580</v>
      </c>
      <c r="AB16" s="297">
        <v>1190</v>
      </c>
      <c r="AC16" s="300">
        <v>825</v>
      </c>
      <c r="AD16" s="298">
        <v>2985</v>
      </c>
      <c r="AE16" s="298">
        <v>915</v>
      </c>
      <c r="AF16" s="299">
        <v>1100</v>
      </c>
    </row>
    <row r="17" spans="1:32" ht="14.15" customHeight="1" x14ac:dyDescent="0.3">
      <c r="A17" s="142" t="s">
        <v>3</v>
      </c>
      <c r="B17" s="141">
        <v>44926</v>
      </c>
      <c r="C17" s="297">
        <v>75</v>
      </c>
      <c r="D17" s="298">
        <v>75</v>
      </c>
      <c r="E17" s="298">
        <v>213</v>
      </c>
      <c r="F17" s="137">
        <v>57</v>
      </c>
      <c r="G17" s="138">
        <v>93</v>
      </c>
      <c r="H17" s="139">
        <v>11</v>
      </c>
      <c r="I17" s="140">
        <v>9</v>
      </c>
      <c r="J17" s="137"/>
      <c r="K17" s="137">
        <v>10</v>
      </c>
      <c r="L17" s="137">
        <v>10</v>
      </c>
      <c r="M17" s="139">
        <v>30</v>
      </c>
      <c r="N17" s="140">
        <v>12</v>
      </c>
      <c r="O17" s="137">
        <v>21</v>
      </c>
      <c r="P17" s="137">
        <v>21</v>
      </c>
      <c r="Q17" s="138">
        <v>21</v>
      </c>
      <c r="R17" s="297">
        <v>10</v>
      </c>
      <c r="S17" s="300">
        <v>41</v>
      </c>
      <c r="T17" s="298">
        <v>35</v>
      </c>
      <c r="U17" s="298">
        <v>9</v>
      </c>
      <c r="V17" s="299">
        <v>42</v>
      </c>
      <c r="W17" s="139">
        <v>63</v>
      </c>
      <c r="X17" s="140">
        <v>33</v>
      </c>
      <c r="Y17" s="137">
        <v>131</v>
      </c>
      <c r="Z17" s="137">
        <v>46</v>
      </c>
      <c r="AA17" s="138">
        <v>50</v>
      </c>
      <c r="AB17" s="297">
        <v>85</v>
      </c>
      <c r="AC17" s="300">
        <v>79</v>
      </c>
      <c r="AD17" s="298">
        <v>214</v>
      </c>
      <c r="AE17" s="298">
        <v>63</v>
      </c>
      <c r="AF17" s="299">
        <v>101</v>
      </c>
    </row>
    <row r="18" spans="1:32" ht="14.15" customHeight="1" x14ac:dyDescent="0.3">
      <c r="A18" s="142" t="s">
        <v>12</v>
      </c>
      <c r="B18" s="141">
        <v>44926</v>
      </c>
      <c r="C18" s="297">
        <v>396</v>
      </c>
      <c r="D18" s="298">
        <v>241</v>
      </c>
      <c r="E18" s="298">
        <v>922</v>
      </c>
      <c r="F18" s="137">
        <v>256</v>
      </c>
      <c r="G18" s="138">
        <v>381</v>
      </c>
      <c r="H18" s="139">
        <v>52</v>
      </c>
      <c r="I18" s="140">
        <v>17</v>
      </c>
      <c r="J18" s="137"/>
      <c r="K18" s="137">
        <v>34</v>
      </c>
      <c r="L18" s="137">
        <v>35</v>
      </c>
      <c r="M18" s="139">
        <v>145</v>
      </c>
      <c r="N18" s="140">
        <v>29</v>
      </c>
      <c r="O18" s="137">
        <v>89</v>
      </c>
      <c r="P18" s="137">
        <v>90</v>
      </c>
      <c r="Q18" s="138">
        <v>84</v>
      </c>
      <c r="R18" s="297">
        <v>72</v>
      </c>
      <c r="S18" s="300">
        <v>128</v>
      </c>
      <c r="T18" s="298">
        <v>129</v>
      </c>
      <c r="U18" s="298">
        <v>47</v>
      </c>
      <c r="V18" s="299">
        <v>153</v>
      </c>
      <c r="W18" s="139">
        <v>309</v>
      </c>
      <c r="X18" s="140">
        <v>103</v>
      </c>
      <c r="Y18" s="137">
        <v>575</v>
      </c>
      <c r="Z18" s="137">
        <v>197</v>
      </c>
      <c r="AA18" s="138">
        <v>215</v>
      </c>
      <c r="AB18" s="297">
        <v>449</v>
      </c>
      <c r="AC18" s="300">
        <v>289</v>
      </c>
      <c r="AD18" s="298">
        <v>933</v>
      </c>
      <c r="AE18" s="298">
        <v>288</v>
      </c>
      <c r="AF18" s="299">
        <v>450</v>
      </c>
    </row>
    <row r="19" spans="1:32" ht="14.15" customHeight="1" x14ac:dyDescent="0.3">
      <c r="A19" s="142" t="s">
        <v>13</v>
      </c>
      <c r="B19" s="141">
        <v>44926</v>
      </c>
      <c r="C19" s="297">
        <v>198</v>
      </c>
      <c r="D19" s="298">
        <v>114</v>
      </c>
      <c r="E19" s="298">
        <v>390</v>
      </c>
      <c r="F19" s="137">
        <v>142</v>
      </c>
      <c r="G19" s="138">
        <v>170</v>
      </c>
      <c r="H19" s="139">
        <v>30</v>
      </c>
      <c r="I19" s="140">
        <v>6</v>
      </c>
      <c r="J19" s="137"/>
      <c r="K19" s="137">
        <v>19</v>
      </c>
      <c r="L19" s="137">
        <v>17</v>
      </c>
      <c r="M19" s="139">
        <v>93</v>
      </c>
      <c r="N19" s="140">
        <v>15</v>
      </c>
      <c r="O19" s="137">
        <v>25</v>
      </c>
      <c r="P19" s="137">
        <v>50</v>
      </c>
      <c r="Q19" s="138">
        <v>58</v>
      </c>
      <c r="R19" s="297">
        <v>28</v>
      </c>
      <c r="S19" s="300">
        <v>59</v>
      </c>
      <c r="T19" s="298">
        <v>55</v>
      </c>
      <c r="U19" s="298">
        <v>21</v>
      </c>
      <c r="V19" s="299">
        <v>66</v>
      </c>
      <c r="W19" s="139">
        <v>166</v>
      </c>
      <c r="X19" s="140">
        <v>50</v>
      </c>
      <c r="Y19" s="137">
        <v>234</v>
      </c>
      <c r="Z19" s="137">
        <v>115</v>
      </c>
      <c r="AA19" s="138">
        <v>101</v>
      </c>
      <c r="AB19" s="297">
        <v>229</v>
      </c>
      <c r="AC19" s="300">
        <v>129</v>
      </c>
      <c r="AD19" s="298">
        <v>399</v>
      </c>
      <c r="AE19" s="298">
        <v>158</v>
      </c>
      <c r="AF19" s="299">
        <v>200</v>
      </c>
    </row>
    <row r="20" spans="1:32" ht="14.15" customHeight="1" x14ac:dyDescent="0.3">
      <c r="A20" s="142" t="s">
        <v>14</v>
      </c>
      <c r="B20" s="141">
        <v>44926</v>
      </c>
      <c r="C20" s="297">
        <v>754</v>
      </c>
      <c r="D20" s="298">
        <v>516</v>
      </c>
      <c r="E20" s="298">
        <v>2137</v>
      </c>
      <c r="F20" s="137">
        <v>533</v>
      </c>
      <c r="G20" s="138">
        <v>737</v>
      </c>
      <c r="H20" s="139">
        <v>133</v>
      </c>
      <c r="I20" s="140">
        <v>60</v>
      </c>
      <c r="J20" s="137"/>
      <c r="K20" s="137">
        <v>91</v>
      </c>
      <c r="L20" s="137">
        <v>102</v>
      </c>
      <c r="M20" s="139">
        <v>320</v>
      </c>
      <c r="N20" s="140">
        <v>103</v>
      </c>
      <c r="O20" s="137">
        <v>143</v>
      </c>
      <c r="P20" s="137">
        <v>194</v>
      </c>
      <c r="Q20" s="138">
        <v>229</v>
      </c>
      <c r="R20" s="297">
        <v>128</v>
      </c>
      <c r="S20" s="300">
        <v>261</v>
      </c>
      <c r="T20" s="298">
        <v>357</v>
      </c>
      <c r="U20" s="298">
        <v>105</v>
      </c>
      <c r="V20" s="299">
        <v>284</v>
      </c>
      <c r="W20" s="139">
        <v>605</v>
      </c>
      <c r="X20" s="140">
        <v>233</v>
      </c>
      <c r="Y20" s="137">
        <v>1344</v>
      </c>
      <c r="Z20" s="137">
        <v>407</v>
      </c>
      <c r="AA20" s="138">
        <v>431</v>
      </c>
      <c r="AB20" s="297">
        <v>851</v>
      </c>
      <c r="AC20" s="300">
        <v>600</v>
      </c>
      <c r="AD20" s="298">
        <v>2163</v>
      </c>
      <c r="AE20" s="298">
        <v>591</v>
      </c>
      <c r="AF20" s="299">
        <v>860</v>
      </c>
    </row>
    <row r="21" spans="1:32" ht="14.15" customHeight="1" x14ac:dyDescent="0.3">
      <c r="A21" s="142" t="s">
        <v>15</v>
      </c>
      <c r="B21" s="141">
        <v>44926</v>
      </c>
      <c r="C21" s="297">
        <v>296</v>
      </c>
      <c r="D21" s="298">
        <v>181</v>
      </c>
      <c r="E21" s="298">
        <v>871</v>
      </c>
      <c r="F21" s="137">
        <v>229</v>
      </c>
      <c r="G21" s="138">
        <v>248</v>
      </c>
      <c r="H21" s="139">
        <v>41</v>
      </c>
      <c r="I21" s="140">
        <v>28</v>
      </c>
      <c r="J21" s="137"/>
      <c r="K21" s="137">
        <v>36</v>
      </c>
      <c r="L21" s="137">
        <v>33</v>
      </c>
      <c r="M21" s="139">
        <v>169</v>
      </c>
      <c r="N21" s="140">
        <v>42</v>
      </c>
      <c r="O21" s="137">
        <v>52</v>
      </c>
      <c r="P21" s="137">
        <v>103</v>
      </c>
      <c r="Q21" s="138">
        <v>108</v>
      </c>
      <c r="R21" s="297">
        <v>61</v>
      </c>
      <c r="S21" s="300">
        <v>86</v>
      </c>
      <c r="T21" s="298">
        <v>132</v>
      </c>
      <c r="U21" s="298">
        <v>37</v>
      </c>
      <c r="V21" s="299">
        <v>110</v>
      </c>
      <c r="W21" s="139">
        <v>227</v>
      </c>
      <c r="X21" s="140">
        <v>81</v>
      </c>
      <c r="Y21" s="137">
        <v>565</v>
      </c>
      <c r="Z21" s="137">
        <v>180</v>
      </c>
      <c r="AA21" s="138">
        <v>128</v>
      </c>
      <c r="AB21" s="297">
        <v>340</v>
      </c>
      <c r="AC21" s="300">
        <v>217</v>
      </c>
      <c r="AD21" s="298">
        <v>890</v>
      </c>
      <c r="AE21" s="298">
        <v>257</v>
      </c>
      <c r="AF21" s="299">
        <v>300</v>
      </c>
    </row>
    <row r="22" spans="1:32" ht="14.15" customHeight="1" x14ac:dyDescent="0.3">
      <c r="A22" s="142" t="s">
        <v>16</v>
      </c>
      <c r="B22" s="141">
        <v>44926</v>
      </c>
      <c r="C22" s="297">
        <v>92</v>
      </c>
      <c r="D22" s="298">
        <v>71</v>
      </c>
      <c r="E22" s="298">
        <v>214</v>
      </c>
      <c r="F22" s="137">
        <v>67</v>
      </c>
      <c r="G22" s="138">
        <v>96</v>
      </c>
      <c r="H22" s="139">
        <v>16</v>
      </c>
      <c r="I22" s="140">
        <v>8</v>
      </c>
      <c r="J22" s="137"/>
      <c r="K22" s="137">
        <v>10</v>
      </c>
      <c r="L22" s="137">
        <v>14</v>
      </c>
      <c r="M22" s="139">
        <v>36</v>
      </c>
      <c r="N22" s="140">
        <v>9</v>
      </c>
      <c r="O22" s="137">
        <v>11</v>
      </c>
      <c r="P22" s="137">
        <v>17</v>
      </c>
      <c r="Q22" s="138">
        <v>28</v>
      </c>
      <c r="R22" s="297">
        <v>15</v>
      </c>
      <c r="S22" s="300">
        <v>39</v>
      </c>
      <c r="T22" s="298">
        <v>30</v>
      </c>
      <c r="U22" s="298">
        <v>15</v>
      </c>
      <c r="V22" s="299">
        <v>39</v>
      </c>
      <c r="W22" s="139">
        <v>73</v>
      </c>
      <c r="X22" s="140">
        <v>30</v>
      </c>
      <c r="Y22" s="137">
        <v>130</v>
      </c>
      <c r="Z22" s="137">
        <v>49</v>
      </c>
      <c r="AA22" s="138">
        <v>54</v>
      </c>
      <c r="AB22" s="297">
        <v>102</v>
      </c>
      <c r="AC22" s="300">
        <v>79</v>
      </c>
      <c r="AD22" s="298">
        <v>217</v>
      </c>
      <c r="AE22" s="298">
        <v>72</v>
      </c>
      <c r="AF22" s="299">
        <v>109</v>
      </c>
    </row>
    <row r="23" spans="1:32" ht="14.15" customHeight="1" x14ac:dyDescent="0.3">
      <c r="A23" s="142" t="s">
        <v>17</v>
      </c>
      <c r="B23" s="141">
        <v>44926</v>
      </c>
      <c r="C23" s="297">
        <v>32</v>
      </c>
      <c r="D23" s="298">
        <v>33</v>
      </c>
      <c r="E23" s="298">
        <v>174</v>
      </c>
      <c r="F23" s="137">
        <v>32</v>
      </c>
      <c r="G23" s="138">
        <v>33</v>
      </c>
      <c r="H23" s="139">
        <v>3</v>
      </c>
      <c r="I23" s="140">
        <v>3</v>
      </c>
      <c r="J23" s="137"/>
      <c r="K23" s="137">
        <v>5</v>
      </c>
      <c r="L23" s="137">
        <v>1</v>
      </c>
      <c r="M23" s="139">
        <v>28</v>
      </c>
      <c r="N23" s="140">
        <v>5</v>
      </c>
      <c r="O23" s="137">
        <v>19</v>
      </c>
      <c r="P23" s="137">
        <v>17</v>
      </c>
      <c r="Q23" s="138">
        <v>16</v>
      </c>
      <c r="R23" s="297">
        <v>3</v>
      </c>
      <c r="S23" s="300">
        <v>14</v>
      </c>
      <c r="T23" s="298">
        <v>33</v>
      </c>
      <c r="U23" s="298">
        <v>5</v>
      </c>
      <c r="V23" s="299">
        <v>12</v>
      </c>
      <c r="W23" s="139">
        <v>27</v>
      </c>
      <c r="X23" s="140">
        <v>17</v>
      </c>
      <c r="Y23" s="137">
        <v>110</v>
      </c>
      <c r="Z23" s="137">
        <v>24</v>
      </c>
      <c r="AA23" s="138">
        <v>20</v>
      </c>
      <c r="AB23" s="297">
        <v>37</v>
      </c>
      <c r="AC23" s="300">
        <v>34</v>
      </c>
      <c r="AD23" s="298">
        <v>177</v>
      </c>
      <c r="AE23" s="298">
        <v>35</v>
      </c>
      <c r="AF23" s="299">
        <v>36</v>
      </c>
    </row>
    <row r="24" spans="1:32" ht="14.15" customHeight="1" x14ac:dyDescent="0.3">
      <c r="A24" s="142" t="s">
        <v>18</v>
      </c>
      <c r="B24" s="141">
        <v>44926</v>
      </c>
      <c r="C24" s="297">
        <v>775</v>
      </c>
      <c r="D24" s="298">
        <v>589</v>
      </c>
      <c r="E24" s="298">
        <v>2709</v>
      </c>
      <c r="F24" s="137">
        <v>593</v>
      </c>
      <c r="G24" s="138">
        <v>771</v>
      </c>
      <c r="H24" s="139">
        <v>120</v>
      </c>
      <c r="I24" s="140">
        <v>54</v>
      </c>
      <c r="J24" s="137"/>
      <c r="K24" s="137">
        <v>88</v>
      </c>
      <c r="L24" s="137">
        <v>86</v>
      </c>
      <c r="M24" s="139">
        <v>349</v>
      </c>
      <c r="N24" s="140">
        <v>107</v>
      </c>
      <c r="O24" s="137">
        <v>187</v>
      </c>
      <c r="P24" s="137">
        <v>211</v>
      </c>
      <c r="Q24" s="138">
        <v>245</v>
      </c>
      <c r="R24" s="297">
        <v>133</v>
      </c>
      <c r="S24" s="300">
        <v>283</v>
      </c>
      <c r="T24" s="298">
        <v>460</v>
      </c>
      <c r="U24" s="298">
        <v>111</v>
      </c>
      <c r="V24" s="299">
        <v>305</v>
      </c>
      <c r="W24" s="139">
        <v>615</v>
      </c>
      <c r="X24" s="140">
        <v>280</v>
      </c>
      <c r="Y24" s="137">
        <v>1639</v>
      </c>
      <c r="Z24" s="137">
        <v>456</v>
      </c>
      <c r="AA24" s="138">
        <v>439</v>
      </c>
      <c r="AB24" s="297">
        <v>868</v>
      </c>
      <c r="AC24" s="300">
        <v>684</v>
      </c>
      <c r="AD24" s="298">
        <v>2758</v>
      </c>
      <c r="AE24" s="298">
        <v>665</v>
      </c>
      <c r="AF24" s="299">
        <v>887</v>
      </c>
    </row>
    <row r="25" spans="1:32" ht="14.15" customHeight="1" x14ac:dyDescent="0.3">
      <c r="A25" s="142" t="s">
        <v>19</v>
      </c>
      <c r="B25" s="141">
        <v>44926</v>
      </c>
      <c r="C25" s="297">
        <v>203</v>
      </c>
      <c r="D25" s="298">
        <v>137</v>
      </c>
      <c r="E25" s="298">
        <v>466</v>
      </c>
      <c r="F25" s="137">
        <v>151</v>
      </c>
      <c r="G25" s="138">
        <v>189</v>
      </c>
      <c r="H25" s="139">
        <v>30</v>
      </c>
      <c r="I25" s="140">
        <v>9</v>
      </c>
      <c r="J25" s="137"/>
      <c r="K25" s="137">
        <v>21</v>
      </c>
      <c r="L25" s="137">
        <v>18</v>
      </c>
      <c r="M25" s="139">
        <v>70</v>
      </c>
      <c r="N25" s="140">
        <v>12</v>
      </c>
      <c r="O25" s="137">
        <v>31</v>
      </c>
      <c r="P25" s="137">
        <v>40</v>
      </c>
      <c r="Q25" s="138">
        <v>42</v>
      </c>
      <c r="R25" s="297">
        <v>52</v>
      </c>
      <c r="S25" s="300">
        <v>72</v>
      </c>
      <c r="T25" s="298">
        <v>61</v>
      </c>
      <c r="U25" s="298">
        <v>39</v>
      </c>
      <c r="V25" s="299">
        <v>85</v>
      </c>
      <c r="W25" s="139">
        <v>143</v>
      </c>
      <c r="X25" s="140">
        <v>56</v>
      </c>
      <c r="Y25" s="137">
        <v>293</v>
      </c>
      <c r="Z25" s="137">
        <v>101</v>
      </c>
      <c r="AA25" s="138">
        <v>98</v>
      </c>
      <c r="AB25" s="297">
        <v>227</v>
      </c>
      <c r="AC25" s="300">
        <v>149</v>
      </c>
      <c r="AD25" s="298">
        <v>473</v>
      </c>
      <c r="AE25" s="298">
        <v>163</v>
      </c>
      <c r="AF25" s="299">
        <v>213</v>
      </c>
    </row>
    <row r="26" spans="1:32" ht="14.15" customHeight="1" x14ac:dyDescent="0.3">
      <c r="A26" s="142" t="s">
        <v>20</v>
      </c>
      <c r="B26" s="141">
        <v>44926</v>
      </c>
      <c r="C26" s="297">
        <v>504</v>
      </c>
      <c r="D26" s="298">
        <v>318</v>
      </c>
      <c r="E26" s="298">
        <v>1397</v>
      </c>
      <c r="F26" s="137">
        <v>370</v>
      </c>
      <c r="G26" s="138">
        <v>452</v>
      </c>
      <c r="H26" s="139">
        <v>95</v>
      </c>
      <c r="I26" s="140">
        <v>21</v>
      </c>
      <c r="J26" s="137"/>
      <c r="K26" s="137">
        <v>62</v>
      </c>
      <c r="L26" s="137">
        <v>54</v>
      </c>
      <c r="M26" s="139">
        <v>258</v>
      </c>
      <c r="N26" s="140">
        <v>60</v>
      </c>
      <c r="O26" s="137">
        <v>94</v>
      </c>
      <c r="P26" s="137">
        <v>165</v>
      </c>
      <c r="Q26" s="138">
        <v>153</v>
      </c>
      <c r="R26" s="297">
        <v>102</v>
      </c>
      <c r="S26" s="300">
        <v>161</v>
      </c>
      <c r="T26" s="298">
        <v>216</v>
      </c>
      <c r="U26" s="298">
        <v>76</v>
      </c>
      <c r="V26" s="299">
        <v>187</v>
      </c>
      <c r="W26" s="139">
        <v>383</v>
      </c>
      <c r="X26" s="140">
        <v>147</v>
      </c>
      <c r="Y26" s="137">
        <v>865</v>
      </c>
      <c r="Z26" s="137">
        <v>279</v>
      </c>
      <c r="AA26" s="138">
        <v>251</v>
      </c>
      <c r="AB26" s="297">
        <v>586</v>
      </c>
      <c r="AC26" s="300">
        <v>365</v>
      </c>
      <c r="AD26" s="298">
        <v>1420</v>
      </c>
      <c r="AE26" s="298">
        <v>418</v>
      </c>
      <c r="AF26" s="299">
        <v>533</v>
      </c>
    </row>
    <row r="27" spans="1:32" ht="14.15" customHeight="1" x14ac:dyDescent="0.3">
      <c r="A27" s="142" t="s">
        <v>21</v>
      </c>
      <c r="B27" s="141">
        <v>44926</v>
      </c>
      <c r="C27" s="297">
        <v>375</v>
      </c>
      <c r="D27" s="298">
        <v>269</v>
      </c>
      <c r="E27" s="298">
        <v>824</v>
      </c>
      <c r="F27" s="137">
        <v>262</v>
      </c>
      <c r="G27" s="138">
        <v>382</v>
      </c>
      <c r="H27" s="139">
        <v>50</v>
      </c>
      <c r="I27" s="140">
        <v>26</v>
      </c>
      <c r="J27" s="137"/>
      <c r="K27" s="137">
        <v>36</v>
      </c>
      <c r="L27" s="137">
        <v>40</v>
      </c>
      <c r="M27" s="139">
        <v>112</v>
      </c>
      <c r="N27" s="140">
        <v>49</v>
      </c>
      <c r="O27" s="137">
        <v>60</v>
      </c>
      <c r="P27" s="137">
        <v>74</v>
      </c>
      <c r="Q27" s="138">
        <v>87</v>
      </c>
      <c r="R27" s="297">
        <v>76</v>
      </c>
      <c r="S27" s="300">
        <v>163</v>
      </c>
      <c r="T27" s="298">
        <v>121</v>
      </c>
      <c r="U27" s="298">
        <v>54</v>
      </c>
      <c r="V27" s="299">
        <v>185</v>
      </c>
      <c r="W27" s="139">
        <v>290</v>
      </c>
      <c r="X27" s="140">
        <v>98</v>
      </c>
      <c r="Y27" s="137">
        <v>466</v>
      </c>
      <c r="Z27" s="137">
        <v>202</v>
      </c>
      <c r="AA27" s="138">
        <v>186</v>
      </c>
      <c r="AB27" s="297">
        <v>424</v>
      </c>
      <c r="AC27" s="300">
        <v>319</v>
      </c>
      <c r="AD27" s="298">
        <v>833</v>
      </c>
      <c r="AE27" s="298">
        <v>297</v>
      </c>
      <c r="AF27" s="299">
        <v>446</v>
      </c>
    </row>
    <row r="28" spans="1:32" ht="14.15" customHeight="1" x14ac:dyDescent="0.3">
      <c r="A28" s="142" t="s">
        <v>22</v>
      </c>
      <c r="B28" s="141">
        <v>44926</v>
      </c>
      <c r="C28" s="297">
        <v>241</v>
      </c>
      <c r="D28" s="298">
        <v>228</v>
      </c>
      <c r="E28" s="298">
        <v>1239</v>
      </c>
      <c r="F28" s="137">
        <v>177</v>
      </c>
      <c r="G28" s="138">
        <v>292</v>
      </c>
      <c r="H28" s="139">
        <v>46</v>
      </c>
      <c r="I28" s="140">
        <v>34</v>
      </c>
      <c r="J28" s="137"/>
      <c r="K28" s="137">
        <v>33</v>
      </c>
      <c r="L28" s="137">
        <v>47</v>
      </c>
      <c r="M28" s="139">
        <v>82</v>
      </c>
      <c r="N28" s="140">
        <v>35</v>
      </c>
      <c r="O28" s="137">
        <v>98</v>
      </c>
      <c r="P28" s="137">
        <v>56</v>
      </c>
      <c r="Q28" s="138">
        <v>61</v>
      </c>
      <c r="R28" s="297">
        <v>47</v>
      </c>
      <c r="S28" s="300">
        <v>119</v>
      </c>
      <c r="T28" s="298">
        <v>171</v>
      </c>
      <c r="U28" s="298">
        <v>30</v>
      </c>
      <c r="V28" s="299">
        <v>136</v>
      </c>
      <c r="W28" s="139">
        <v>182</v>
      </c>
      <c r="X28" s="140">
        <v>103</v>
      </c>
      <c r="Y28" s="137">
        <v>782</v>
      </c>
      <c r="Z28" s="137">
        <v>140</v>
      </c>
      <c r="AA28" s="138">
        <v>145</v>
      </c>
      <c r="AB28" s="297">
        <v>259</v>
      </c>
      <c r="AC28" s="300">
        <v>270</v>
      </c>
      <c r="AD28" s="298">
        <v>1279</v>
      </c>
      <c r="AE28" s="298">
        <v>196</v>
      </c>
      <c r="AF28" s="299">
        <v>333</v>
      </c>
    </row>
    <row r="29" spans="1:32" ht="14.15" customHeight="1" x14ac:dyDescent="0.3">
      <c r="A29" s="142" t="s">
        <v>23</v>
      </c>
      <c r="B29" s="141">
        <v>44926</v>
      </c>
      <c r="C29" s="297">
        <v>397</v>
      </c>
      <c r="D29" s="298">
        <v>289</v>
      </c>
      <c r="E29" s="298">
        <v>1897</v>
      </c>
      <c r="F29" s="137">
        <v>299</v>
      </c>
      <c r="G29" s="138">
        <v>387</v>
      </c>
      <c r="H29" s="139">
        <v>81</v>
      </c>
      <c r="I29" s="140">
        <v>49</v>
      </c>
      <c r="J29" s="137"/>
      <c r="K29" s="137">
        <v>64</v>
      </c>
      <c r="L29" s="137">
        <v>66</v>
      </c>
      <c r="M29" s="139">
        <v>138</v>
      </c>
      <c r="N29" s="140">
        <v>51</v>
      </c>
      <c r="O29" s="137">
        <v>157</v>
      </c>
      <c r="P29" s="137">
        <v>98</v>
      </c>
      <c r="Q29" s="138">
        <v>91</v>
      </c>
      <c r="R29" s="297">
        <v>75</v>
      </c>
      <c r="S29" s="300">
        <v>147</v>
      </c>
      <c r="T29" s="298">
        <v>257</v>
      </c>
      <c r="U29" s="298">
        <v>56</v>
      </c>
      <c r="V29" s="299">
        <v>166</v>
      </c>
      <c r="W29" s="139">
        <v>306</v>
      </c>
      <c r="X29" s="140">
        <v>128</v>
      </c>
      <c r="Y29" s="137">
        <v>1115</v>
      </c>
      <c r="Z29" s="137">
        <v>231</v>
      </c>
      <c r="AA29" s="138">
        <v>203</v>
      </c>
      <c r="AB29" s="297">
        <v>462</v>
      </c>
      <c r="AC29" s="300">
        <v>336</v>
      </c>
      <c r="AD29" s="298">
        <v>1922</v>
      </c>
      <c r="AE29" s="298">
        <v>337</v>
      </c>
      <c r="AF29" s="299">
        <v>461</v>
      </c>
    </row>
    <row r="30" spans="1:32" ht="14.15" customHeight="1" x14ac:dyDescent="0.3">
      <c r="A30" s="142" t="s">
        <v>24</v>
      </c>
      <c r="B30" s="141">
        <v>44926</v>
      </c>
      <c r="C30" s="297">
        <v>74</v>
      </c>
      <c r="D30" s="298">
        <v>61</v>
      </c>
      <c r="E30" s="298">
        <v>186</v>
      </c>
      <c r="F30" s="137">
        <v>47</v>
      </c>
      <c r="G30" s="138">
        <v>88</v>
      </c>
      <c r="H30" s="139">
        <v>12</v>
      </c>
      <c r="I30" s="140">
        <v>5</v>
      </c>
      <c r="J30" s="137"/>
      <c r="K30" s="137">
        <v>8</v>
      </c>
      <c r="L30" s="137">
        <v>9</v>
      </c>
      <c r="M30" s="139">
        <v>32</v>
      </c>
      <c r="N30" s="140">
        <v>11</v>
      </c>
      <c r="O30" s="137">
        <v>15</v>
      </c>
      <c r="P30" s="137">
        <v>20</v>
      </c>
      <c r="Q30" s="138">
        <v>23</v>
      </c>
      <c r="R30" s="297">
        <v>12</v>
      </c>
      <c r="S30" s="300">
        <v>37</v>
      </c>
      <c r="T30" s="298">
        <v>26</v>
      </c>
      <c r="U30" s="298">
        <v>10</v>
      </c>
      <c r="V30" s="299">
        <v>39</v>
      </c>
      <c r="W30" s="139">
        <v>60</v>
      </c>
      <c r="X30" s="140">
        <v>23</v>
      </c>
      <c r="Y30" s="137">
        <v>116</v>
      </c>
      <c r="Z30" s="137">
        <v>36</v>
      </c>
      <c r="AA30" s="138">
        <v>47</v>
      </c>
      <c r="AB30" s="297">
        <v>85</v>
      </c>
      <c r="AC30" s="300">
        <v>68</v>
      </c>
      <c r="AD30" s="298">
        <v>186</v>
      </c>
      <c r="AE30" s="298">
        <v>56</v>
      </c>
      <c r="AF30" s="299">
        <v>97</v>
      </c>
    </row>
    <row r="31" spans="1:32" ht="14.15" customHeight="1" x14ac:dyDescent="0.3">
      <c r="A31" s="142" t="s">
        <v>25</v>
      </c>
      <c r="B31" s="141">
        <v>44926</v>
      </c>
      <c r="C31" s="297">
        <v>1404</v>
      </c>
      <c r="D31" s="298">
        <v>922</v>
      </c>
      <c r="E31" s="298">
        <v>4229</v>
      </c>
      <c r="F31" s="137">
        <v>1072</v>
      </c>
      <c r="G31" s="138">
        <v>1254</v>
      </c>
      <c r="H31" s="139">
        <v>185</v>
      </c>
      <c r="I31" s="140">
        <v>93</v>
      </c>
      <c r="J31" s="137"/>
      <c r="K31" s="137">
        <v>155</v>
      </c>
      <c r="L31" s="137">
        <v>123</v>
      </c>
      <c r="M31" s="139">
        <v>626</v>
      </c>
      <c r="N31" s="140">
        <v>240</v>
      </c>
      <c r="O31" s="137">
        <v>325</v>
      </c>
      <c r="P31" s="137">
        <v>426</v>
      </c>
      <c r="Q31" s="138">
        <v>440</v>
      </c>
      <c r="R31" s="297">
        <v>251</v>
      </c>
      <c r="S31" s="300">
        <v>415</v>
      </c>
      <c r="T31" s="298">
        <v>664</v>
      </c>
      <c r="U31" s="298">
        <v>189</v>
      </c>
      <c r="V31" s="299">
        <v>477</v>
      </c>
      <c r="W31" s="139">
        <v>1116</v>
      </c>
      <c r="X31" s="140">
        <v>466</v>
      </c>
      <c r="Y31" s="137">
        <v>2510</v>
      </c>
      <c r="Z31" s="137">
        <v>845</v>
      </c>
      <c r="AA31" s="138">
        <v>737</v>
      </c>
      <c r="AB31" s="297">
        <v>1599</v>
      </c>
      <c r="AC31" s="300">
        <v>1042</v>
      </c>
      <c r="AD31" s="298">
        <v>4299</v>
      </c>
      <c r="AE31" s="298">
        <v>1201</v>
      </c>
      <c r="AF31" s="299">
        <v>1440</v>
      </c>
    </row>
    <row r="32" spans="1:32" ht="14.15" customHeight="1" x14ac:dyDescent="0.3">
      <c r="A32" s="142" t="s">
        <v>26</v>
      </c>
      <c r="B32" s="141">
        <v>44926</v>
      </c>
      <c r="C32" s="297">
        <v>546</v>
      </c>
      <c r="D32" s="298">
        <v>444</v>
      </c>
      <c r="E32" s="298">
        <v>1505</v>
      </c>
      <c r="F32" s="137">
        <v>484</v>
      </c>
      <c r="G32" s="138">
        <v>506</v>
      </c>
      <c r="H32" s="139">
        <v>71</v>
      </c>
      <c r="I32" s="140">
        <v>51</v>
      </c>
      <c r="J32" s="137"/>
      <c r="K32" s="137">
        <v>58</v>
      </c>
      <c r="L32" s="137">
        <v>64</v>
      </c>
      <c r="M32" s="139">
        <v>218</v>
      </c>
      <c r="N32" s="140">
        <v>105</v>
      </c>
      <c r="O32" s="137">
        <v>107</v>
      </c>
      <c r="P32" s="137">
        <v>166</v>
      </c>
      <c r="Q32" s="138">
        <v>157</v>
      </c>
      <c r="R32" s="297">
        <v>82</v>
      </c>
      <c r="S32" s="300">
        <v>178</v>
      </c>
      <c r="T32" s="298">
        <v>198</v>
      </c>
      <c r="U32" s="298">
        <v>84</v>
      </c>
      <c r="V32" s="299">
        <v>176</v>
      </c>
      <c r="W32" s="139">
        <v>447</v>
      </c>
      <c r="X32" s="140">
        <v>242</v>
      </c>
      <c r="Y32" s="137">
        <v>995</v>
      </c>
      <c r="Z32" s="137">
        <v>374</v>
      </c>
      <c r="AA32" s="138">
        <v>315</v>
      </c>
      <c r="AB32" s="297">
        <v>621</v>
      </c>
      <c r="AC32" s="300">
        <v>515</v>
      </c>
      <c r="AD32" s="298">
        <v>1529</v>
      </c>
      <c r="AE32" s="298">
        <v>525</v>
      </c>
      <c r="AF32" s="299">
        <v>611</v>
      </c>
    </row>
    <row r="33" spans="1:32" ht="14.15" customHeight="1" x14ac:dyDescent="0.3">
      <c r="A33" s="142" t="s">
        <v>27</v>
      </c>
      <c r="B33" s="141">
        <v>44926</v>
      </c>
      <c r="C33" s="297">
        <v>223</v>
      </c>
      <c r="D33" s="298">
        <v>121</v>
      </c>
      <c r="E33" s="298">
        <v>652</v>
      </c>
      <c r="F33" s="137">
        <v>162</v>
      </c>
      <c r="G33" s="138">
        <v>182</v>
      </c>
      <c r="H33" s="139">
        <v>35</v>
      </c>
      <c r="I33" s="140">
        <v>14</v>
      </c>
      <c r="J33" s="137"/>
      <c r="K33" s="137">
        <v>24</v>
      </c>
      <c r="L33" s="137">
        <v>25</v>
      </c>
      <c r="M33" s="139">
        <v>102</v>
      </c>
      <c r="N33" s="140">
        <v>22</v>
      </c>
      <c r="O33" s="137">
        <v>42</v>
      </c>
      <c r="P33" s="137">
        <v>57</v>
      </c>
      <c r="Q33" s="138">
        <v>67</v>
      </c>
      <c r="R33" s="297">
        <v>45</v>
      </c>
      <c r="S33" s="300">
        <v>51</v>
      </c>
      <c r="T33" s="298">
        <v>81</v>
      </c>
      <c r="U33" s="298">
        <v>30</v>
      </c>
      <c r="V33" s="299">
        <v>66</v>
      </c>
      <c r="W33" s="139">
        <v>175</v>
      </c>
      <c r="X33" s="140">
        <v>68</v>
      </c>
      <c r="Y33" s="137">
        <v>378</v>
      </c>
      <c r="Z33" s="137">
        <v>130</v>
      </c>
      <c r="AA33" s="138">
        <v>113</v>
      </c>
      <c r="AB33" s="297">
        <v>250</v>
      </c>
      <c r="AC33" s="300">
        <v>130</v>
      </c>
      <c r="AD33" s="298">
        <v>660</v>
      </c>
      <c r="AE33" s="298">
        <v>174</v>
      </c>
      <c r="AF33" s="299">
        <v>206</v>
      </c>
    </row>
    <row r="34" spans="1:32" ht="14.15" customHeight="1" x14ac:dyDescent="0.3">
      <c r="A34" s="142" t="s">
        <v>28</v>
      </c>
      <c r="B34" s="141">
        <v>44926</v>
      </c>
      <c r="C34" s="297">
        <v>2342</v>
      </c>
      <c r="D34" s="298">
        <v>1550</v>
      </c>
      <c r="E34" s="298">
        <v>8267</v>
      </c>
      <c r="F34" s="137">
        <v>1671</v>
      </c>
      <c r="G34" s="138">
        <v>2221</v>
      </c>
      <c r="H34" s="139">
        <v>396</v>
      </c>
      <c r="I34" s="140">
        <v>144</v>
      </c>
      <c r="J34" s="137"/>
      <c r="K34" s="137">
        <v>268</v>
      </c>
      <c r="L34" s="137">
        <v>272</v>
      </c>
      <c r="M34" s="139">
        <v>924</v>
      </c>
      <c r="N34" s="140">
        <v>346</v>
      </c>
      <c r="O34" s="137">
        <v>467</v>
      </c>
      <c r="P34" s="137">
        <v>609</v>
      </c>
      <c r="Q34" s="138">
        <v>661</v>
      </c>
      <c r="R34" s="297">
        <v>403</v>
      </c>
      <c r="S34" s="300">
        <v>789</v>
      </c>
      <c r="T34" s="298">
        <v>1463</v>
      </c>
      <c r="U34" s="298">
        <v>284</v>
      </c>
      <c r="V34" s="299">
        <v>908</v>
      </c>
      <c r="W34" s="139">
        <v>1860</v>
      </c>
      <c r="X34" s="140">
        <v>652</v>
      </c>
      <c r="Y34" s="137">
        <v>4968</v>
      </c>
      <c r="Z34" s="137">
        <v>1292</v>
      </c>
      <c r="AA34" s="138">
        <v>1220</v>
      </c>
      <c r="AB34" s="297">
        <v>2592</v>
      </c>
      <c r="AC34" s="300">
        <v>1795</v>
      </c>
      <c r="AD34" s="298">
        <v>8378</v>
      </c>
      <c r="AE34" s="298">
        <v>1840</v>
      </c>
      <c r="AF34" s="299">
        <v>2547</v>
      </c>
    </row>
    <row r="35" spans="1:32" ht="14.15" customHeight="1" x14ac:dyDescent="0.3">
      <c r="AB35" s="176"/>
      <c r="AE35" s="176"/>
    </row>
    <row r="36" spans="1:32" s="123" customFormat="1" ht="14.15" hidden="1" customHeight="1" x14ac:dyDescent="0.3">
      <c r="A36" s="224" t="s">
        <v>38</v>
      </c>
      <c r="C36" s="224">
        <f>SUM(C8:D8)</f>
        <v>24208</v>
      </c>
      <c r="F36" s="224">
        <f>SUM(F8:G8)</f>
        <v>24208</v>
      </c>
      <c r="H36" s="224">
        <f>SUM(H8:I8)</f>
        <v>3323</v>
      </c>
      <c r="K36" s="224">
        <f>SUM(K8:L8)</f>
        <v>3323</v>
      </c>
      <c r="M36" s="224">
        <f>SUM(M8:N8)</f>
        <v>8011</v>
      </c>
      <c r="P36" s="224">
        <f>SUM(P8:Q8)</f>
        <v>8011</v>
      </c>
      <c r="R36" s="224">
        <f>SUM(R8:S8)</f>
        <v>7319</v>
      </c>
      <c r="U36" s="224">
        <f>SUM(U8:V8)</f>
        <v>7319</v>
      </c>
      <c r="W36" s="224">
        <f>SUM(W8:X8)</f>
        <v>15860</v>
      </c>
      <c r="Z36" s="224">
        <f>SUM(Z8:AA8)</f>
        <v>15860</v>
      </c>
      <c r="AB36" s="224">
        <f>SUM(AB8:AC8)</f>
        <v>27615</v>
      </c>
      <c r="AE36" s="224">
        <f>SUM(AE8:AF8)</f>
        <v>27615</v>
      </c>
    </row>
    <row r="37" spans="1:32" ht="14.15" customHeight="1" x14ac:dyDescent="0.3"/>
    <row r="38" spans="1:32" ht="14.15" customHeight="1" x14ac:dyDescent="0.3"/>
    <row r="39" spans="1:32" ht="14.15" customHeight="1" x14ac:dyDescent="0.3"/>
    <row r="40" spans="1:32" ht="14.15" customHeight="1" x14ac:dyDescent="0.3"/>
    <row r="41" spans="1:32" ht="14.15" customHeight="1" x14ac:dyDescent="0.3"/>
    <row r="42" spans="1:32" ht="14.15" customHeight="1" x14ac:dyDescent="0.3"/>
    <row r="43" spans="1:32" ht="14.15" customHeight="1" x14ac:dyDescent="0.3"/>
    <row r="44" spans="1:32" ht="14.15" customHeight="1" x14ac:dyDescent="0.3"/>
    <row r="45" spans="1:32" ht="14.15" customHeight="1" x14ac:dyDescent="0.3"/>
    <row r="46" spans="1:32" ht="14.15" customHeight="1" x14ac:dyDescent="0.3"/>
    <row r="47" spans="1:32" ht="14.15" customHeight="1" x14ac:dyDescent="0.3"/>
    <row r="48" spans="1:32" ht="14.15" customHeight="1" x14ac:dyDescent="0.3"/>
    <row r="49" ht="14.15" customHeight="1" x14ac:dyDescent="0.3"/>
    <row r="50" ht="14.15" customHeight="1" x14ac:dyDescent="0.3"/>
    <row r="51" ht="14.15" customHeight="1" x14ac:dyDescent="0.3"/>
    <row r="52" ht="14.15" customHeight="1" x14ac:dyDescent="0.3"/>
  </sheetData>
  <sheetProtection algorithmName="SHA-512" hashValue="DxFfVcuSBSHsDH9lcEXl+qs2i9o3IC/8Fv9eJ9B3hN2Zg2Aeouw1kXZapkDsPnUh/981DHOZoiFyICf13H1XeQ==" saltValue="RP8M1UB+JVagMXw8lD4DUw==" spinCount="100000" sheet="1" selectLockedCells="1" selectUnlockedCells="1"/>
  <customSheetViews>
    <customSheetView guid="{168849A9-FED9-4458-942F-290616B3A25C}" scale="60" showPageBreaks="1" showGridLines="0" printArea="1" hiddenRows="1">
      <selection activeCell="K8" sqref="K8"/>
      <pageMargins left="0.70866141732283472" right="0.70866141732283472" top="1.3779527559055118" bottom="0.78740157480314965" header="0.31496062992125984" footer="0.31496062992125984"/>
      <pageSetup paperSize="8" scale="95" fitToWidth="0" orientation="landscape" horizontalDpi="90" verticalDpi="90" r:id="rId1"/>
      <headerFooter>
        <oddHeader>&amp;LKennzahlenraster KIP / IAS&amp;R&amp;G</oddHeader>
        <oddFooter>&amp;L&amp;A&amp;R&amp;P</oddFooter>
      </headerFooter>
    </customSheetView>
  </customSheetViews>
  <mergeCells count="16">
    <mergeCell ref="A1:Q1"/>
    <mergeCell ref="A3:Q3"/>
    <mergeCell ref="W6:AA6"/>
    <mergeCell ref="AB6:AF6"/>
    <mergeCell ref="A5:A7"/>
    <mergeCell ref="B5:B7"/>
    <mergeCell ref="C5:G5"/>
    <mergeCell ref="H5:L5"/>
    <mergeCell ref="M5:Q5"/>
    <mergeCell ref="R5:V5"/>
    <mergeCell ref="W5:AA5"/>
    <mergeCell ref="AB5:AF5"/>
    <mergeCell ref="M6:Q6"/>
    <mergeCell ref="R6:V6"/>
    <mergeCell ref="C6:G6"/>
    <mergeCell ref="H6:L6"/>
  </mergeCells>
  <pageMargins left="0.70866141732283472" right="0.70866141732283472" top="1.3779527559055118" bottom="0.78740157480314965" header="0.31496062992125984" footer="0.31496062992125984"/>
  <pageSetup paperSize="8" scale="95" fitToWidth="0" orientation="landscape" horizontalDpi="90" verticalDpi="90" r:id="rId2"/>
  <headerFooter>
    <oddHeader>&amp;LKennzahlenraster KIP / IAS&amp;R&amp;G</oddHeader>
    <oddFooter>&amp;L&amp;A&amp;R&amp;P</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0" tint="-0.499984740745262"/>
    <pageSetUpPr fitToPage="1"/>
  </sheetPr>
  <dimension ref="B1:G31"/>
  <sheetViews>
    <sheetView showGridLines="0" tabSelected="1" zoomScale="75" zoomScaleNormal="75" workbookViewId="0">
      <selection activeCell="C16" sqref="C16"/>
    </sheetView>
  </sheetViews>
  <sheetFormatPr baseColWidth="10" defaultColWidth="10.58203125" defaultRowHeight="14" x14ac:dyDescent="0.3"/>
  <cols>
    <col min="1" max="1" width="2.08203125" style="213" customWidth="1"/>
    <col min="2" max="2" width="14.58203125" style="213" customWidth="1"/>
    <col min="3" max="3" width="26" style="213" customWidth="1"/>
    <col min="4" max="4" width="50.5" style="213" customWidth="1"/>
    <col min="5" max="7" width="10.58203125" style="213"/>
    <col min="8" max="8" width="2.08203125" style="213" customWidth="1"/>
    <col min="9" max="16384" width="10.58203125" style="213"/>
  </cols>
  <sheetData>
    <row r="1" spans="2:7" ht="30" x14ac:dyDescent="0.3">
      <c r="B1" s="360" t="s">
        <v>180</v>
      </c>
      <c r="C1" s="360"/>
      <c r="D1" s="360"/>
    </row>
    <row r="2" spans="2:7" ht="14.5" thickBot="1" x14ac:dyDescent="0.35"/>
    <row r="3" spans="2:7" ht="28.5" customHeight="1" x14ac:dyDescent="0.6">
      <c r="B3" s="361" t="s">
        <v>42</v>
      </c>
      <c r="C3" s="362"/>
      <c r="D3" s="214" t="s">
        <v>43</v>
      </c>
    </row>
    <row r="4" spans="2:7" ht="28.5" customHeight="1" thickBot="1" x14ac:dyDescent="0.6">
      <c r="B4" s="366"/>
      <c r="C4" s="367"/>
      <c r="D4" s="355" t="s">
        <v>35</v>
      </c>
    </row>
    <row r="5" spans="2:7" ht="18.649999999999999" customHeight="1" thickBot="1" x14ac:dyDescent="0.65">
      <c r="C5" s="215"/>
      <c r="D5" s="216"/>
    </row>
    <row r="6" spans="2:7" ht="28.5" customHeight="1" thickBot="1" x14ac:dyDescent="0.35">
      <c r="B6" s="363" t="s">
        <v>44</v>
      </c>
      <c r="C6" s="364"/>
      <c r="D6" s="365"/>
    </row>
    <row r="7" spans="2:7" ht="28.5" customHeight="1" thickBot="1" x14ac:dyDescent="0.35">
      <c r="B7" s="368"/>
      <c r="C7" s="369"/>
      <c r="D7" s="347"/>
    </row>
    <row r="8" spans="2:7" ht="14.5" thickBot="1" x14ac:dyDescent="0.35"/>
    <row r="9" spans="2:7" ht="28.5" customHeight="1" x14ac:dyDescent="0.3">
      <c r="B9" s="363" t="s">
        <v>45</v>
      </c>
      <c r="C9" s="364"/>
      <c r="D9" s="365"/>
    </row>
    <row r="10" spans="2:7" ht="28.5" customHeight="1" thickBot="1" x14ac:dyDescent="0.35">
      <c r="B10" s="217" t="s">
        <v>46</v>
      </c>
      <c r="C10" s="370"/>
      <c r="D10" s="371"/>
    </row>
    <row r="11" spans="2:7" ht="28.5" customHeight="1" thickBot="1" x14ac:dyDescent="0.35">
      <c r="B11" s="218" t="s">
        <v>36</v>
      </c>
      <c r="C11" s="372"/>
      <c r="D11" s="373"/>
    </row>
    <row r="12" spans="2:7" ht="28.5" customHeight="1" thickBot="1" x14ac:dyDescent="0.35">
      <c r="B12" s="218" t="s">
        <v>47</v>
      </c>
      <c r="C12" s="372"/>
      <c r="D12" s="373"/>
    </row>
    <row r="14" spans="2:7" ht="14.5" thickBot="1" x14ac:dyDescent="0.35"/>
    <row r="15" spans="2:7" ht="36.5" thickBot="1" x14ac:dyDescent="0.35">
      <c r="B15" s="315" t="s">
        <v>48</v>
      </c>
      <c r="C15" s="357" t="s">
        <v>49</v>
      </c>
      <c r="D15" s="358"/>
      <c r="E15" s="358"/>
      <c r="F15" s="358"/>
      <c r="G15" s="359"/>
    </row>
    <row r="16" spans="2:7" ht="23.15" customHeight="1" x14ac:dyDescent="0.3">
      <c r="B16" s="305">
        <v>1</v>
      </c>
      <c r="C16" s="348" t="s">
        <v>167</v>
      </c>
      <c r="D16" s="349"/>
      <c r="E16" s="349"/>
      <c r="F16" s="349"/>
      <c r="G16" s="350"/>
    </row>
    <row r="17" spans="2:7" ht="22.5" x14ac:dyDescent="0.3">
      <c r="B17" s="306">
        <v>2</v>
      </c>
      <c r="C17" s="353" t="s">
        <v>50</v>
      </c>
      <c r="D17" s="354"/>
      <c r="E17" s="354"/>
      <c r="F17" s="354"/>
      <c r="G17" s="351"/>
    </row>
    <row r="18" spans="2:7" ht="23.15" customHeight="1" x14ac:dyDescent="0.3">
      <c r="B18" s="219">
        <v>3</v>
      </c>
      <c r="C18" s="374" t="s">
        <v>64</v>
      </c>
      <c r="D18" s="375"/>
      <c r="E18" s="375"/>
      <c r="F18" s="375"/>
      <c r="G18" s="376"/>
    </row>
    <row r="19" spans="2:7" ht="23.25" customHeight="1" x14ac:dyDescent="0.3">
      <c r="B19" s="220">
        <v>4</v>
      </c>
      <c r="C19" s="374" t="s">
        <v>168</v>
      </c>
      <c r="D19" s="375"/>
      <c r="E19" s="375"/>
      <c r="F19" s="375"/>
      <c r="G19" s="376"/>
    </row>
    <row r="20" spans="2:7" ht="23.25" customHeight="1" x14ac:dyDescent="0.3">
      <c r="B20" s="220">
        <v>5</v>
      </c>
      <c r="C20" s="377" t="s">
        <v>169</v>
      </c>
      <c r="D20" s="375"/>
      <c r="E20" s="375"/>
      <c r="F20" s="375"/>
      <c r="G20" s="376"/>
    </row>
    <row r="21" spans="2:7" ht="23.25" customHeight="1" x14ac:dyDescent="0.3">
      <c r="B21" s="220">
        <v>6</v>
      </c>
      <c r="C21" s="377" t="s">
        <v>170</v>
      </c>
      <c r="D21" s="375"/>
      <c r="E21" s="375"/>
      <c r="F21" s="375"/>
      <c r="G21" s="376"/>
    </row>
    <row r="22" spans="2:7" ht="23.25" customHeight="1" x14ac:dyDescent="0.3">
      <c r="B22" s="220">
        <v>7</v>
      </c>
      <c r="C22" s="377" t="s">
        <v>171</v>
      </c>
      <c r="D22" s="375"/>
      <c r="E22" s="375"/>
      <c r="F22" s="375"/>
      <c r="G22" s="376"/>
    </row>
    <row r="23" spans="2:7" ht="23.25" customHeight="1" x14ac:dyDescent="0.3">
      <c r="B23" s="220">
        <v>8</v>
      </c>
      <c r="C23" s="377" t="s">
        <v>172</v>
      </c>
      <c r="D23" s="375"/>
      <c r="E23" s="375"/>
      <c r="F23" s="375"/>
      <c r="G23" s="376"/>
    </row>
    <row r="24" spans="2:7" ht="23.25" customHeight="1" x14ac:dyDescent="0.3">
      <c r="B24" s="220">
        <v>9</v>
      </c>
      <c r="C24" s="374" t="s">
        <v>173</v>
      </c>
      <c r="D24" s="375"/>
      <c r="E24" s="375"/>
      <c r="F24" s="375"/>
      <c r="G24" s="376"/>
    </row>
    <row r="25" spans="2:7" ht="23.25" customHeight="1" x14ac:dyDescent="0.3">
      <c r="B25" s="220">
        <v>10</v>
      </c>
      <c r="C25" s="377" t="s">
        <v>174</v>
      </c>
      <c r="D25" s="375"/>
      <c r="E25" s="375"/>
      <c r="F25" s="375"/>
      <c r="G25" s="376"/>
    </row>
    <row r="26" spans="2:7" ht="23.25" customHeight="1" x14ac:dyDescent="0.3">
      <c r="B26" s="220">
        <v>11</v>
      </c>
      <c r="C26" s="377" t="s">
        <v>175</v>
      </c>
      <c r="D26" s="375"/>
      <c r="E26" s="375"/>
      <c r="F26" s="375"/>
      <c r="G26" s="376"/>
    </row>
    <row r="27" spans="2:7" ht="23.25" customHeight="1" x14ac:dyDescent="0.3">
      <c r="B27" s="220">
        <v>12</v>
      </c>
      <c r="C27" s="377" t="s">
        <v>176</v>
      </c>
      <c r="D27" s="375"/>
      <c r="E27" s="375"/>
      <c r="F27" s="375"/>
      <c r="G27" s="376"/>
    </row>
    <row r="28" spans="2:7" ht="23.25" customHeight="1" x14ac:dyDescent="0.3">
      <c r="B28" s="220">
        <v>13</v>
      </c>
      <c r="C28" s="377" t="s">
        <v>177</v>
      </c>
      <c r="D28" s="375"/>
      <c r="E28" s="375"/>
      <c r="F28" s="375"/>
      <c r="G28" s="376"/>
    </row>
    <row r="29" spans="2:7" ht="23.25" customHeight="1" x14ac:dyDescent="0.3">
      <c r="B29" s="220">
        <v>14</v>
      </c>
      <c r="C29" s="377" t="s">
        <v>178</v>
      </c>
      <c r="D29" s="375"/>
      <c r="E29" s="375"/>
      <c r="F29" s="375"/>
      <c r="G29" s="376"/>
    </row>
    <row r="30" spans="2:7" ht="23.25" customHeight="1" thickBot="1" x14ac:dyDescent="0.35">
      <c r="B30" s="356">
        <v>15</v>
      </c>
      <c r="C30" s="378" t="s">
        <v>179</v>
      </c>
      <c r="D30" s="379"/>
      <c r="E30" s="379"/>
      <c r="F30" s="379"/>
      <c r="G30" s="380"/>
    </row>
    <row r="31" spans="2:7" ht="23.5" customHeight="1" x14ac:dyDescent="0.3"/>
  </sheetData>
  <sheetProtection algorithmName="SHA-512" hashValue="5li9jKYtJhwlmoJCy1myHiWh4D862IB8YnmeCkdlP0ZXzIWU0wmxpqEKMIsvIyUS9B21Uq7BNlpJhMvHCC8i3g==" saltValue="yCzpaeBOMG8we1JazWB7Tg==" spinCount="100000" sheet="1" selectLockedCells="1"/>
  <customSheetViews>
    <customSheetView guid="{168849A9-FED9-4458-942F-290616B3A25C}" scale="60" showPageBreaks="1" showGridLines="0" fitToPage="1" printArea="1" topLeftCell="A10">
      <selection activeCell="M12" sqref="M12"/>
      <pageMargins left="0.70866141732283472" right="0.70866141732283472" top="1.1811023622047245" bottom="0.78740157480314965" header="0.31496062992125984" footer="0.31496062992125984"/>
      <pageSetup paperSize="9" scale="63" orientation="portrait" horizontalDpi="90" verticalDpi="90" r:id="rId1"/>
      <headerFooter>
        <oddHeader>&amp;LKennzahlenraster KIP IAS&amp;R&amp;G</oddHeader>
        <oddFooter>&amp;L&amp;A&amp;R&amp;P</oddFooter>
      </headerFooter>
    </customSheetView>
  </customSheetViews>
  <mergeCells count="23">
    <mergeCell ref="C28:G28"/>
    <mergeCell ref="C29:G29"/>
    <mergeCell ref="C30:G30"/>
    <mergeCell ref="C23:G23"/>
    <mergeCell ref="C24:G24"/>
    <mergeCell ref="C25:G25"/>
    <mergeCell ref="C26:G26"/>
    <mergeCell ref="C27:G27"/>
    <mergeCell ref="C18:G18"/>
    <mergeCell ref="C19:G19"/>
    <mergeCell ref="C20:G20"/>
    <mergeCell ref="C21:G21"/>
    <mergeCell ref="C22:G22"/>
    <mergeCell ref="C15:G15"/>
    <mergeCell ref="B1:D1"/>
    <mergeCell ref="B3:C3"/>
    <mergeCell ref="B6:D6"/>
    <mergeCell ref="B4:C4"/>
    <mergeCell ref="B7:C7"/>
    <mergeCell ref="C10:D10"/>
    <mergeCell ref="C11:D11"/>
    <mergeCell ref="C12:D12"/>
    <mergeCell ref="B9:D9"/>
  </mergeCells>
  <dataValidations xWindow="391" yWindow="600" count="3">
    <dataValidation type="date" allowBlank="1" showInputMessage="1" showErrorMessage="1" error="Si prega di compilare" promptTitle="Data del rilevamento" sqref="D7" xr:uid="{00000000-0002-0000-0100-000001000000}">
      <formula1>44927</formula1>
      <formula2>45291</formula2>
    </dataValidation>
    <dataValidation sqref="B10:B12" xr:uid="{00000000-0002-0000-0100-000002000000}"/>
    <dataValidation showInputMessage="1" showErrorMessage="1" sqref="C10" xr:uid="{4F25851D-CE23-4FB8-9EFE-97CAFF2E9584}"/>
  </dataValidations>
  <hyperlinks>
    <hyperlink ref="C17" location="'Indicatori PIC'!A1" display="KIP-Kennzahlen" xr:uid="{00000000-0004-0000-0100-000000000000}"/>
    <hyperlink ref="C20:G20" location="'Ind AIS N°2'!A1" display="IAS Kennzahl 2 &quot;Arbeitserfahrung&quot;" xr:uid="{00000000-0004-0000-0100-000002000000}"/>
    <hyperlink ref="C21:G21" location="'Ind AIS N°3'!A1" display="IAS Kennzahl 3 &quot;Bildung&quot;" xr:uid="{00000000-0004-0000-0100-000003000000}"/>
    <hyperlink ref="C22:G22" location="'Ind AIS N°4'!A1" display="IAS Kennzahl 4 &quot;Alphabetisierung&quot;" xr:uid="{00000000-0004-0000-0100-000004000000}"/>
    <hyperlink ref="C23:G23" location="'Ind AIS N°5'!A1" display="IAS Kennzahl 5 &quot;Potenzial&quot;" xr:uid="{00000000-0004-0000-0100-000005000000}"/>
    <hyperlink ref="C25:G25" location="'Ind AIS N°7'!A1" display="IAS Kennzahl 7 &quot;Sprachförderung Erwachsene&quot;" xr:uid="{00000000-0004-0000-0100-000006000000}"/>
    <hyperlink ref="C27:G27" location="'Ind AIS N°9'!A1" display="IAS Kennzahl 9 &quot;Sprachförderung Vorschulkinder&quot;" xr:uid="{00000000-0004-0000-0100-000007000000}"/>
    <hyperlink ref="C28:G28" location="'Ind AIS N°11a'!A1" display="IAS Kennzahl 11a &quot;Förderung Ausbildungsfähigkeit 16-25-Jährige&quot;" xr:uid="{00000000-0004-0000-0100-000008000000}"/>
    <hyperlink ref="C29:G29" location="'Ind AIS N°11b'!A1" display="IAS Kennzahl 11b &quot;Förderung Arbeitsmarktfähigkeit 26-55-Jährige&quot;" xr:uid="{00000000-0004-0000-0100-000009000000}"/>
    <hyperlink ref="C30:G30" location="'Ind AIS N°14'!A1" display="IAS Kennzahl 14 &quot;Zusammenleben&quot;" xr:uid="{00000000-0004-0000-0100-00000A000000}"/>
    <hyperlink ref="C18:G18" location="'Sintesi Indicatori AIS'!A1" display="'Sintesi Indicatori AIS'!A1" xr:uid="{00000000-0004-0000-0100-00000C000000}"/>
    <hyperlink ref="C19:G19" location="'Ind AIS N°1'!A1" display="'Ind AIS N°1'!A1" xr:uid="{00000000-0004-0000-0100-00000D000000}"/>
    <hyperlink ref="C24:G24" location="'Ind AIS N°6'!A1" display="'Ind AIS N°6'!A1" xr:uid="{00000000-0004-0000-0100-00000E000000}"/>
    <hyperlink ref="C26:G26" location="'Ind AIS N°8'!A1" display="IAS Kennzahl 8 &quot;Sprachniveau Erwachsene&quot;" xr:uid="{00000000-0004-0000-0100-00000F000000}"/>
  </hyperlinks>
  <pageMargins left="0.70866141732283472" right="0.70866141732283472" top="1.1811023622047245" bottom="0.78740157480314965" header="0.31496062992125984" footer="0.31496062992125984"/>
  <pageSetup paperSize="9" scale="63" orientation="portrait" horizontalDpi="90" verticalDpi="90" r:id="rId2"/>
  <headerFooter>
    <oddHeader>&amp;LKennzahlenraster KIP IAS&amp;R&amp;G</oddHeader>
    <oddFooter>&amp;L&amp;A&amp;R&amp;P</oddFooter>
  </headerFooter>
  <legacyDrawingHF r:id="rId3"/>
  <extLst>
    <ext xmlns:x14="http://schemas.microsoft.com/office/spreadsheetml/2009/9/main" uri="{CCE6A557-97BC-4b89-ADB6-D9C93CAAB3DF}">
      <x14:dataValidations xmlns:xm="http://schemas.microsoft.com/office/excel/2006/main" xWindow="391" yWindow="600" count="1">
        <x14:dataValidation type="list" allowBlank="1" xr:uid="{00000000-0002-0000-0100-000003000000}">
          <x14:formula1>
            <xm:f>Dropdownlisten!$A$3:$A$29</xm:f>
          </x14:formula1>
          <xm:sqref>D4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9" tint="0.39997558519241921"/>
    <pageSetUpPr fitToPage="1"/>
  </sheetPr>
  <dimension ref="B1:K12"/>
  <sheetViews>
    <sheetView showGridLines="0" zoomScale="75" zoomScaleNormal="75" workbookViewId="0">
      <selection activeCell="F3" sqref="F3"/>
    </sheetView>
  </sheetViews>
  <sheetFormatPr baseColWidth="10" defaultColWidth="11" defaultRowHeight="14" x14ac:dyDescent="0.3"/>
  <cols>
    <col min="1" max="1" width="2.08203125" style="189" customWidth="1"/>
    <col min="2" max="2" width="4.08203125" style="189" customWidth="1"/>
    <col min="3" max="4" width="11" style="189"/>
    <col min="5" max="5" width="12.75" style="189" customWidth="1"/>
    <col min="6" max="6" width="34.5" style="227" customWidth="1"/>
    <col min="7" max="7" width="79.58203125" style="189" customWidth="1"/>
    <col min="8" max="9" width="14.08203125" style="189" customWidth="1"/>
    <col min="10" max="10" width="32.58203125" style="189" customWidth="1"/>
    <col min="11" max="11" width="51.83203125" style="189" customWidth="1"/>
    <col min="12" max="12" width="2.08203125" style="189" customWidth="1"/>
    <col min="13" max="16384" width="11" style="189"/>
  </cols>
  <sheetData>
    <row r="1" spans="2:11" ht="28" x14ac:dyDescent="0.6">
      <c r="B1" s="386" t="s">
        <v>50</v>
      </c>
      <c r="C1" s="387"/>
      <c r="D1" s="387"/>
      <c r="E1" s="387"/>
      <c r="F1" s="388"/>
    </row>
    <row r="2" spans="2:11" ht="28.5" customHeight="1" x14ac:dyDescent="0.5">
      <c r="B2" s="382" t="s">
        <v>42</v>
      </c>
      <c r="C2" s="383"/>
      <c r="D2" s="383"/>
      <c r="E2" s="383"/>
      <c r="F2" s="268" t="str">
        <f>Indice!D4</f>
        <v>CH</v>
      </c>
    </row>
    <row r="3" spans="2:11" ht="28.5" customHeight="1" thickBot="1" x14ac:dyDescent="0.35">
      <c r="B3" s="384" t="s">
        <v>51</v>
      </c>
      <c r="C3" s="385"/>
      <c r="D3" s="385"/>
      <c r="E3" s="385"/>
      <c r="F3" s="269"/>
      <c r="G3" s="190"/>
    </row>
    <row r="4" spans="2:11" ht="14.15" customHeight="1" x14ac:dyDescent="0.3">
      <c r="B4" s="191"/>
      <c r="C4" s="191"/>
      <c r="D4" s="191"/>
      <c r="E4" s="192"/>
    </row>
    <row r="5" spans="2:11" ht="14.15" customHeight="1" thickBot="1" x14ac:dyDescent="0.35">
      <c r="B5" s="391"/>
      <c r="C5" s="392"/>
      <c r="D5" s="392"/>
      <c r="E5" s="392"/>
    </row>
    <row r="6" spans="2:11" ht="50.15" customHeight="1" thickBot="1" x14ac:dyDescent="0.35">
      <c r="B6" s="270" t="s">
        <v>52</v>
      </c>
      <c r="C6" s="393" t="s">
        <v>53</v>
      </c>
      <c r="D6" s="394"/>
      <c r="E6" s="395"/>
      <c r="F6" s="193" t="s">
        <v>54</v>
      </c>
      <c r="G6" s="193" t="s">
        <v>55</v>
      </c>
      <c r="H6" s="193" t="s">
        <v>56</v>
      </c>
      <c r="I6" s="345" t="s">
        <v>211</v>
      </c>
      <c r="J6" s="396" t="s">
        <v>57</v>
      </c>
      <c r="K6" s="397"/>
    </row>
    <row r="7" spans="2:11" s="194" customFormat="1" ht="16.5" customHeight="1" thickBot="1" x14ac:dyDescent="0.35">
      <c r="B7" s="381"/>
      <c r="C7" s="381"/>
      <c r="D7" s="381"/>
      <c r="E7" s="381"/>
      <c r="F7" s="381"/>
      <c r="G7" s="381"/>
      <c r="H7" s="381"/>
      <c r="I7" s="381"/>
      <c r="J7" s="381"/>
      <c r="K7" s="381"/>
    </row>
    <row r="8" spans="2:11" ht="183" customHeight="1" x14ac:dyDescent="0.3">
      <c r="B8" s="271">
        <v>1</v>
      </c>
      <c r="C8" s="400" t="s">
        <v>58</v>
      </c>
      <c r="D8" s="401"/>
      <c r="E8" s="401"/>
      <c r="F8" s="272" t="s">
        <v>212</v>
      </c>
      <c r="G8" s="273" t="s">
        <v>213</v>
      </c>
      <c r="H8" s="341"/>
      <c r="I8" s="274" t="s">
        <v>32</v>
      </c>
      <c r="J8" s="406"/>
      <c r="K8" s="407"/>
    </row>
    <row r="9" spans="2:11" ht="70" x14ac:dyDescent="0.3">
      <c r="B9" s="275">
        <v>2</v>
      </c>
      <c r="C9" s="402" t="s">
        <v>214</v>
      </c>
      <c r="D9" s="403"/>
      <c r="E9" s="403"/>
      <c r="F9" s="228" t="s">
        <v>228</v>
      </c>
      <c r="G9" s="195" t="s">
        <v>59</v>
      </c>
      <c r="H9" s="340"/>
      <c r="I9" s="342" t="s">
        <v>32</v>
      </c>
      <c r="J9" s="389"/>
      <c r="K9" s="390"/>
    </row>
    <row r="10" spans="2:11" ht="101.25" customHeight="1" x14ac:dyDescent="0.3">
      <c r="B10" s="275">
        <v>3</v>
      </c>
      <c r="C10" s="402" t="s">
        <v>60</v>
      </c>
      <c r="D10" s="403"/>
      <c r="E10" s="403"/>
      <c r="F10" s="228" t="s">
        <v>230</v>
      </c>
      <c r="G10" s="195" t="s">
        <v>61</v>
      </c>
      <c r="H10" s="340"/>
      <c r="I10" s="92" t="s">
        <v>32</v>
      </c>
      <c r="J10" s="389"/>
      <c r="K10" s="390"/>
    </row>
    <row r="11" spans="2:11" ht="126" customHeight="1" x14ac:dyDescent="0.3">
      <c r="B11" s="275">
        <v>4</v>
      </c>
      <c r="C11" s="402" t="s">
        <v>62</v>
      </c>
      <c r="D11" s="403"/>
      <c r="E11" s="403"/>
      <c r="F11" s="228" t="s">
        <v>227</v>
      </c>
      <c r="G11" s="196" t="s">
        <v>226</v>
      </c>
      <c r="H11" s="340"/>
      <c r="I11" s="92" t="s">
        <v>32</v>
      </c>
      <c r="J11" s="389"/>
      <c r="K11" s="390"/>
    </row>
    <row r="12" spans="2:11" ht="187.5" customHeight="1" thickBot="1" x14ac:dyDescent="0.35">
      <c r="B12" s="276">
        <v>5</v>
      </c>
      <c r="C12" s="404" t="s">
        <v>63</v>
      </c>
      <c r="D12" s="405"/>
      <c r="E12" s="405"/>
      <c r="F12" s="277" t="s">
        <v>229</v>
      </c>
      <c r="G12" s="278" t="s">
        <v>215</v>
      </c>
      <c r="H12" s="343"/>
      <c r="I12" s="279" t="s">
        <v>32</v>
      </c>
      <c r="J12" s="398"/>
      <c r="K12" s="399"/>
    </row>
  </sheetData>
  <sheetProtection algorithmName="SHA-512" hashValue="LVgTOBOzxMMBfWa25Sm0CcKKE3hfqRk/aJ0Ymq+IJg1KnVQ719+3wjP7S1r+Jf/rQo4OtnhF05R08C0i4KoLFA==" saltValue="qMc1e7REzjxZEe+SU5S5Tg==" spinCount="100000" sheet="1" selectLockedCells="1"/>
  <customSheetViews>
    <customSheetView guid="{168849A9-FED9-4458-942F-290616B3A25C}" scale="85" showPageBreaks="1" showGridLines="0" fitToPage="1" printArea="1">
      <selection activeCell="F2" sqref="F2"/>
      <pageMargins left="0.70866141732283472" right="0.70866141732283472" top="0.78740157480314965" bottom="0.78740157480314965" header="0.31496062992125984" footer="0.31496062992125984"/>
      <pageSetup paperSize="9" scale="48" fitToHeight="0" orientation="landscape" r:id="rId1"/>
      <headerFooter>
        <oddHeader>&amp;LKennzahlenraster KIP / IAS&amp;R&amp;G</oddHeader>
        <oddFooter>&amp;L&amp;A&amp;R&amp;P</oddFooter>
      </headerFooter>
    </customSheetView>
  </customSheetViews>
  <mergeCells count="17">
    <mergeCell ref="J12:K12"/>
    <mergeCell ref="J10:K10"/>
    <mergeCell ref="C8:E8"/>
    <mergeCell ref="C9:E9"/>
    <mergeCell ref="C11:E11"/>
    <mergeCell ref="C12:E12"/>
    <mergeCell ref="C10:E10"/>
    <mergeCell ref="J8:K8"/>
    <mergeCell ref="J9:K9"/>
    <mergeCell ref="B7:K7"/>
    <mergeCell ref="B2:E2"/>
    <mergeCell ref="B3:E3"/>
    <mergeCell ref="B1:F1"/>
    <mergeCell ref="J11:K11"/>
    <mergeCell ref="B5:E5"/>
    <mergeCell ref="C6:E6"/>
    <mergeCell ref="J6:K6"/>
  </mergeCells>
  <dataValidations count="2">
    <dataValidation type="whole" operator="greaterThanOrEqual" allowBlank="1" showInputMessage="1" showErrorMessage="1" errorTitle="Fehler" error="Solo i numeri interi e positivi sono validi (0, 200, etc.). " sqref="H8:H12" xr:uid="{00000000-0002-0000-0200-000000000000}">
      <formula1>0</formula1>
    </dataValidation>
    <dataValidation type="date" allowBlank="1" showInputMessage="1" showErrorMessage="1" errorTitle="Data del rilevamento" error="Si prega di compilare" promptTitle="Data del rilevamento" prompt="Si prega di compilare" sqref="F3" xr:uid="{00000000-0002-0000-0200-000001000000}">
      <formula1>44927</formula1>
      <formula2>45291</formula2>
    </dataValidation>
  </dataValidations>
  <pageMargins left="0.70866141732283472" right="0.70866141732283472" top="0.78740157480314965" bottom="0.78740157480314965" header="0.31496062992125984" footer="0.31496062992125984"/>
  <pageSetup paperSize="9" scale="48" fitToHeight="0" orientation="landscape" r:id="rId2"/>
  <headerFooter>
    <oddFooter>&amp;L&amp;A&amp;R&amp;P</oddFooter>
  </headerFooter>
  <extLst>
    <ext xmlns:x14="http://schemas.microsoft.com/office/spreadsheetml/2009/9/main" uri="{CCE6A557-97BC-4b89-ADB6-D9C93CAAB3DF}">
      <x14:dataValidations xmlns:xm="http://schemas.microsoft.com/office/excel/2006/main" count="1">
        <x14:dataValidation type="list" operator="greaterThanOrEqual" showInputMessage="1" showErrorMessage="1" errorTitle="Fehler" error="Solo i numeri interi e positivi sono validi (0, 200, etc.). " xr:uid="{E419B9CF-2F1C-4588-B20C-EAA002078699}">
          <x14:formula1>
            <xm:f>Dropdownlisten!$C$9:$C$12</xm:f>
          </x14:formula1>
          <xm:sqref>I8:I12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3" tint="0.39997558519241921"/>
    <pageSetUpPr fitToPage="1"/>
  </sheetPr>
  <dimension ref="A1:V34"/>
  <sheetViews>
    <sheetView showGridLines="0" zoomScale="60" zoomScaleNormal="60" zoomScalePageLayoutView="90" workbookViewId="0">
      <selection activeCell="G8" sqref="G8"/>
    </sheetView>
  </sheetViews>
  <sheetFormatPr baseColWidth="10" defaultColWidth="11" defaultRowHeight="14" x14ac:dyDescent="0.3"/>
  <cols>
    <col min="1" max="1" width="2.08203125" style="1" customWidth="1"/>
    <col min="2" max="2" width="3.08203125" style="1" customWidth="1"/>
    <col min="3" max="3" width="4.08203125" style="1" customWidth="1"/>
    <col min="4" max="4" width="32.08203125" style="1" customWidth="1"/>
    <col min="5" max="5" width="41.58203125" style="1" customWidth="1"/>
    <col min="6" max="6" width="20.08203125" style="1" customWidth="1"/>
    <col min="7" max="15" width="15.83203125" style="1" customWidth="1"/>
    <col min="16" max="16" width="2.08203125" style="1" customWidth="1"/>
    <col min="17" max="16384" width="11" style="1"/>
  </cols>
  <sheetData>
    <row r="1" spans="2:22" ht="28" x14ac:dyDescent="0.3">
      <c r="B1" s="408" t="s">
        <v>64</v>
      </c>
      <c r="C1" s="409"/>
      <c r="D1" s="409"/>
      <c r="E1" s="410"/>
    </row>
    <row r="2" spans="2:22" ht="28.5" customHeight="1" x14ac:dyDescent="0.5">
      <c r="B2" s="447" t="s">
        <v>42</v>
      </c>
      <c r="C2" s="447"/>
      <c r="D2" s="447"/>
      <c r="E2" s="95" t="str">
        <f>'Indicatori PIC'!F2</f>
        <v>CH</v>
      </c>
    </row>
    <row r="3" spans="2:22" ht="14.15" customHeight="1" x14ac:dyDescent="0.3">
      <c r="B3" s="7"/>
      <c r="C3" s="7"/>
      <c r="D3" s="7"/>
      <c r="E3" s="91"/>
      <c r="F3" s="91"/>
    </row>
    <row r="4" spans="2:22" ht="14.15" customHeight="1" thickBot="1" x14ac:dyDescent="0.35"/>
    <row r="5" spans="2:22" s="3" customFormat="1" ht="62.5" customHeight="1" thickBot="1" x14ac:dyDescent="0.35">
      <c r="B5" s="8" t="s">
        <v>65</v>
      </c>
      <c r="C5" s="9" t="s">
        <v>52</v>
      </c>
      <c r="D5" s="25" t="s">
        <v>66</v>
      </c>
      <c r="E5" s="426" t="s">
        <v>54</v>
      </c>
      <c r="F5" s="427"/>
      <c r="G5" s="67" t="s">
        <v>67</v>
      </c>
      <c r="H5" s="68" t="s">
        <v>68</v>
      </c>
      <c r="I5" s="69" t="s">
        <v>69</v>
      </c>
      <c r="J5" s="74" t="s">
        <v>181</v>
      </c>
      <c r="K5" s="74" t="s">
        <v>70</v>
      </c>
      <c r="L5" s="75" t="s">
        <v>71</v>
      </c>
      <c r="M5" s="70" t="s">
        <v>72</v>
      </c>
      <c r="N5" s="437" t="s">
        <v>73</v>
      </c>
      <c r="O5" s="438"/>
      <c r="P5" s="2"/>
      <c r="Q5" s="2"/>
      <c r="R5" s="2"/>
      <c r="S5" s="2"/>
      <c r="T5" s="2"/>
      <c r="U5" s="2"/>
      <c r="V5" s="2"/>
    </row>
    <row r="6" spans="2:22" s="4" customFormat="1" ht="14.15" customHeight="1" thickBot="1" x14ac:dyDescent="0.35">
      <c r="B6" s="221"/>
      <c r="C6" s="425"/>
      <c r="D6" s="425"/>
      <c r="E6" s="425"/>
      <c r="F6" s="425"/>
      <c r="G6" s="425"/>
      <c r="H6" s="425"/>
      <c r="I6" s="425"/>
      <c r="J6" s="425"/>
      <c r="K6" s="425"/>
      <c r="L6" s="425"/>
      <c r="M6" s="425"/>
      <c r="P6" s="5"/>
      <c r="Q6" s="5"/>
      <c r="R6" s="5"/>
      <c r="S6" s="5"/>
      <c r="T6" s="5"/>
      <c r="U6" s="5"/>
      <c r="V6" s="5"/>
    </row>
    <row r="7" spans="2:22" s="207" customFormat="1" ht="80.150000000000006" customHeight="1" thickBot="1" x14ac:dyDescent="0.35">
      <c r="B7" s="197"/>
      <c r="C7" s="198"/>
      <c r="D7" s="199" t="s">
        <v>74</v>
      </c>
      <c r="E7" s="200"/>
      <c r="F7" s="201"/>
      <c r="G7" s="202"/>
      <c r="H7" s="203"/>
      <c r="I7" s="203"/>
      <c r="J7" s="204"/>
      <c r="K7" s="204"/>
      <c r="L7" s="205"/>
      <c r="M7" s="206"/>
      <c r="N7" s="208" t="s">
        <v>114</v>
      </c>
      <c r="O7" s="209" t="s">
        <v>115</v>
      </c>
    </row>
    <row r="8" spans="2:22" s="6" customFormat="1" ht="80.150000000000006" customHeight="1" thickBot="1" x14ac:dyDescent="0.35">
      <c r="B8" s="32" t="s">
        <v>75</v>
      </c>
      <c r="C8" s="33">
        <v>1</v>
      </c>
      <c r="D8" s="34" t="s">
        <v>76</v>
      </c>
      <c r="E8" s="35" t="s">
        <v>77</v>
      </c>
      <c r="F8" s="145"/>
      <c r="G8" s="62">
        <f>SUM(H8:I8,K8)</f>
        <v>0</v>
      </c>
      <c r="H8" s="36">
        <f>'Ind AIS N°1'!D8</f>
        <v>0</v>
      </c>
      <c r="I8" s="36">
        <f>'Ind AIS N°1'!E8</f>
        <v>0</v>
      </c>
      <c r="J8" s="76">
        <f>'Ind AIS N°1'!F8</f>
        <v>0</v>
      </c>
      <c r="K8" s="37">
        <f>'Ind AIS N°1'!G8</f>
        <v>0</v>
      </c>
      <c r="L8" s="36">
        <f>'Ind AIS N°1'!H8</f>
        <v>0</v>
      </c>
      <c r="M8" s="37">
        <f>'Ind AIS N°1'!I8</f>
        <v>0</v>
      </c>
      <c r="N8" s="439"/>
      <c r="O8" s="440"/>
    </row>
    <row r="9" spans="2:22" s="6" customFormat="1" ht="45" customHeight="1" x14ac:dyDescent="0.3">
      <c r="B9" s="411" t="s">
        <v>78</v>
      </c>
      <c r="C9" s="428">
        <v>2</v>
      </c>
      <c r="D9" s="433" t="s">
        <v>79</v>
      </c>
      <c r="E9" s="422" t="s">
        <v>80</v>
      </c>
      <c r="F9" s="210" t="s">
        <v>81</v>
      </c>
      <c r="G9" s="64">
        <f t="shared" ref="G9:G17" si="0">SUM(H9:I9,K9)</f>
        <v>0</v>
      </c>
      <c r="H9" s="39">
        <f>'Ind AIS N°2'!E8</f>
        <v>0</v>
      </c>
      <c r="I9" s="40">
        <f>'Ind AIS N°2'!F8</f>
        <v>0</v>
      </c>
      <c r="J9" s="77">
        <f>'Ind AIS N°2'!G8</f>
        <v>0</v>
      </c>
      <c r="K9" s="77">
        <f>'Ind AIS N°2'!H8</f>
        <v>0</v>
      </c>
      <c r="L9" s="83">
        <f>'Ind AIS N°2'!I8</f>
        <v>0</v>
      </c>
      <c r="M9" s="41">
        <f>'Ind AIS N°2'!J8</f>
        <v>0</v>
      </c>
      <c r="N9" s="441"/>
      <c r="O9" s="442"/>
    </row>
    <row r="10" spans="2:22" s="6" customFormat="1" ht="45" customHeight="1" x14ac:dyDescent="0.3">
      <c r="B10" s="448"/>
      <c r="C10" s="429"/>
      <c r="D10" s="449"/>
      <c r="E10" s="423"/>
      <c r="F10" s="211" t="s">
        <v>82</v>
      </c>
      <c r="G10" s="65">
        <f t="shared" si="0"/>
        <v>0</v>
      </c>
      <c r="H10" s="26">
        <f>'Ind AIS N°2'!E9</f>
        <v>0</v>
      </c>
      <c r="I10" s="28">
        <f>'Ind AIS N°2'!F9</f>
        <v>0</v>
      </c>
      <c r="J10" s="78">
        <f>'Ind AIS N°2'!G9</f>
        <v>0</v>
      </c>
      <c r="K10" s="78">
        <f>'Ind AIS N°2'!H9</f>
        <v>0</v>
      </c>
      <c r="L10" s="84">
        <f>'Ind AIS N°2'!I9</f>
        <v>0</v>
      </c>
      <c r="M10" s="27">
        <f>'Ind AIS N°2'!J9</f>
        <v>0</v>
      </c>
      <c r="N10" s="441"/>
      <c r="O10" s="442"/>
    </row>
    <row r="11" spans="2:22" s="6" customFormat="1" ht="45" customHeight="1" x14ac:dyDescent="0.3">
      <c r="B11" s="448"/>
      <c r="C11" s="429"/>
      <c r="D11" s="449"/>
      <c r="E11" s="423"/>
      <c r="F11" s="211" t="s">
        <v>83</v>
      </c>
      <c r="G11" s="65">
        <f t="shared" si="0"/>
        <v>0</v>
      </c>
      <c r="H11" s="26">
        <f>'Ind AIS N°2'!E10</f>
        <v>0</v>
      </c>
      <c r="I11" s="28">
        <f>'Ind AIS N°2'!F10</f>
        <v>0</v>
      </c>
      <c r="J11" s="78">
        <f>'Ind AIS N°2'!G10</f>
        <v>0</v>
      </c>
      <c r="K11" s="78">
        <f>'Ind AIS N°2'!H10</f>
        <v>0</v>
      </c>
      <c r="L11" s="84">
        <f>'Ind AIS N°2'!I10</f>
        <v>0</v>
      </c>
      <c r="M11" s="27">
        <f>'Ind AIS N°2'!J10</f>
        <v>0</v>
      </c>
      <c r="N11" s="441"/>
      <c r="O11" s="442"/>
    </row>
    <row r="12" spans="2:22" s="6" customFormat="1" ht="45" customHeight="1" thickBot="1" x14ac:dyDescent="0.35">
      <c r="B12" s="412"/>
      <c r="C12" s="430"/>
      <c r="D12" s="434"/>
      <c r="E12" s="424"/>
      <c r="F12" s="212" t="s">
        <v>84</v>
      </c>
      <c r="G12" s="66">
        <f t="shared" si="0"/>
        <v>0</v>
      </c>
      <c r="H12" s="29">
        <f>'Ind AIS N°2'!E11</f>
        <v>0</v>
      </c>
      <c r="I12" s="30">
        <f>'Ind AIS N°2'!F11</f>
        <v>0</v>
      </c>
      <c r="J12" s="79">
        <f>'Ind AIS N°2'!G11</f>
        <v>0</v>
      </c>
      <c r="K12" s="79">
        <f>'Ind AIS N°2'!H11</f>
        <v>0</v>
      </c>
      <c r="L12" s="85">
        <f>'Ind AIS N°2'!I11</f>
        <v>0</v>
      </c>
      <c r="M12" s="31">
        <f>'Ind AIS N°2'!J11</f>
        <v>0</v>
      </c>
      <c r="N12" s="441"/>
      <c r="O12" s="442"/>
    </row>
    <row r="13" spans="2:22" s="6" customFormat="1" ht="45" customHeight="1" x14ac:dyDescent="0.3">
      <c r="B13" s="411" t="s">
        <v>78</v>
      </c>
      <c r="C13" s="431">
        <v>3</v>
      </c>
      <c r="D13" s="433" t="s">
        <v>85</v>
      </c>
      <c r="E13" s="445" t="s">
        <v>86</v>
      </c>
      <c r="F13" s="38" t="s">
        <v>87</v>
      </c>
      <c r="G13" s="64">
        <f>SUM(H13:I13,K13)</f>
        <v>0</v>
      </c>
      <c r="H13" s="39">
        <f>'Ind AIS N°3'!E8</f>
        <v>0</v>
      </c>
      <c r="I13" s="40">
        <f>'Ind AIS N°3'!F8</f>
        <v>0</v>
      </c>
      <c r="J13" s="77">
        <f>'Ind AIS N°3'!G8</f>
        <v>0</v>
      </c>
      <c r="K13" s="77">
        <f>'Ind AIS N°3'!H8</f>
        <v>0</v>
      </c>
      <c r="L13" s="83">
        <f>'Ind AIS N°3'!I8</f>
        <v>0</v>
      </c>
      <c r="M13" s="41">
        <f>'Ind AIS N°3'!J8</f>
        <v>0</v>
      </c>
      <c r="N13" s="441"/>
      <c r="O13" s="442"/>
    </row>
    <row r="14" spans="2:22" s="6" customFormat="1" ht="45" customHeight="1" thickBot="1" x14ac:dyDescent="0.35">
      <c r="B14" s="412"/>
      <c r="C14" s="432"/>
      <c r="D14" s="434"/>
      <c r="E14" s="446"/>
      <c r="F14" s="10" t="s">
        <v>88</v>
      </c>
      <c r="G14" s="66">
        <f t="shared" si="0"/>
        <v>0</v>
      </c>
      <c r="H14" s="29">
        <f>'Ind AIS N°3'!E9</f>
        <v>0</v>
      </c>
      <c r="I14" s="30">
        <f>'Ind AIS N°3'!F9</f>
        <v>0</v>
      </c>
      <c r="J14" s="79">
        <f>'Ind AIS N°3'!G9</f>
        <v>0</v>
      </c>
      <c r="K14" s="79">
        <f>'Ind AIS N°3'!H9</f>
        <v>0</v>
      </c>
      <c r="L14" s="85">
        <f>'Ind AIS N°3'!I9</f>
        <v>0</v>
      </c>
      <c r="M14" s="31">
        <f>'Ind AIS N°3'!J9</f>
        <v>0</v>
      </c>
      <c r="N14" s="441"/>
      <c r="O14" s="442"/>
    </row>
    <row r="15" spans="2:22" s="6" customFormat="1" ht="80.150000000000006" customHeight="1" thickBot="1" x14ac:dyDescent="0.35">
      <c r="B15" s="32" t="s">
        <v>78</v>
      </c>
      <c r="C15" s="42">
        <v>4</v>
      </c>
      <c r="D15" s="34" t="s">
        <v>89</v>
      </c>
      <c r="E15" s="35" t="s">
        <v>90</v>
      </c>
      <c r="F15" s="145"/>
      <c r="G15" s="62">
        <f t="shared" si="0"/>
        <v>0</v>
      </c>
      <c r="H15" s="36">
        <f>'Ind AIS N°4'!D8</f>
        <v>0</v>
      </c>
      <c r="I15" s="43">
        <f>'Ind AIS N°4'!E8</f>
        <v>0</v>
      </c>
      <c r="J15" s="80">
        <f>'Ind AIS N°4'!F8</f>
        <v>0</v>
      </c>
      <c r="K15" s="80">
        <f>'Ind AIS N°4'!G8</f>
        <v>0</v>
      </c>
      <c r="L15" s="82">
        <f>'Ind AIS N°4'!H8</f>
        <v>0</v>
      </c>
      <c r="M15" s="37">
        <f>'Ind AIS N°4'!I8</f>
        <v>0</v>
      </c>
      <c r="N15" s="441"/>
      <c r="O15" s="442"/>
    </row>
    <row r="16" spans="2:22" s="6" customFormat="1" ht="55" customHeight="1" x14ac:dyDescent="0.3">
      <c r="B16" s="411" t="s">
        <v>78</v>
      </c>
      <c r="C16" s="420">
        <v>5</v>
      </c>
      <c r="D16" s="418" t="s">
        <v>91</v>
      </c>
      <c r="E16" s="416" t="s">
        <v>92</v>
      </c>
      <c r="F16" s="44" t="s">
        <v>93</v>
      </c>
      <c r="G16" s="64">
        <f>SUM(H16:I16,K16)</f>
        <v>0</v>
      </c>
      <c r="H16" s="48">
        <f>'Ind AIS N°5'!E8</f>
        <v>0</v>
      </c>
      <c r="I16" s="45">
        <f>'Ind AIS N°5'!F8</f>
        <v>0</v>
      </c>
      <c r="J16" s="81">
        <f>'Ind AIS N°5'!G8</f>
        <v>0</v>
      </c>
      <c r="K16" s="81">
        <f>'Ind AIS N°5'!H8</f>
        <v>0</v>
      </c>
      <c r="L16" s="86">
        <f>'Ind AIS N°5'!I8</f>
        <v>0</v>
      </c>
      <c r="M16" s="46">
        <f>'Ind AIS N°5'!J8</f>
        <v>0</v>
      </c>
      <c r="N16" s="441"/>
      <c r="O16" s="442"/>
    </row>
    <row r="17" spans="1:16" s="6" customFormat="1" ht="55" customHeight="1" thickBot="1" x14ac:dyDescent="0.35">
      <c r="B17" s="412"/>
      <c r="C17" s="421"/>
      <c r="D17" s="419"/>
      <c r="E17" s="417"/>
      <c r="F17" s="10" t="s">
        <v>94</v>
      </c>
      <c r="G17" s="66">
        <f t="shared" si="0"/>
        <v>0</v>
      </c>
      <c r="H17" s="29">
        <f>'Ind AIS N°5'!E9</f>
        <v>0</v>
      </c>
      <c r="I17" s="30">
        <f>'Ind AIS N°5'!F9</f>
        <v>0</v>
      </c>
      <c r="J17" s="79">
        <f>'Ind AIS N°5'!G9</f>
        <v>0</v>
      </c>
      <c r="K17" s="79">
        <f>'Ind AIS N°5'!H9</f>
        <v>0</v>
      </c>
      <c r="L17" s="85">
        <f>'Ind AIS N°5'!I9</f>
        <v>0</v>
      </c>
      <c r="M17" s="31">
        <f>'Ind AIS N°5'!J9</f>
        <v>0</v>
      </c>
      <c r="N17" s="443"/>
      <c r="O17" s="444"/>
    </row>
    <row r="18" spans="1:16" ht="14.5" thickBot="1" x14ac:dyDescent="0.35">
      <c r="B18" s="414"/>
      <c r="C18" s="414"/>
      <c r="D18" s="414"/>
      <c r="E18" s="11"/>
      <c r="F18" s="11"/>
      <c r="G18" s="11"/>
      <c r="H18" s="11"/>
      <c r="I18" s="11"/>
      <c r="J18" s="11"/>
      <c r="K18" s="11"/>
      <c r="L18" s="11"/>
      <c r="M18" s="11"/>
    </row>
    <row r="19" spans="1:16" ht="82.5" customHeight="1" thickBot="1" x14ac:dyDescent="0.35">
      <c r="B19" s="51"/>
      <c r="C19" s="307"/>
      <c r="D19" s="57" t="s">
        <v>95</v>
      </c>
      <c r="E19" s="58"/>
      <c r="F19" s="59"/>
      <c r="G19" s="63"/>
      <c r="H19" s="60"/>
      <c r="I19" s="55"/>
      <c r="J19" s="87"/>
      <c r="K19" s="87"/>
      <c r="L19" s="88"/>
      <c r="M19" s="56"/>
      <c r="N19" s="346" t="s">
        <v>114</v>
      </c>
      <c r="O19" s="209" t="s">
        <v>115</v>
      </c>
    </row>
    <row r="20" spans="1:16" s="6" customFormat="1" ht="80.150000000000006" customHeight="1" thickBot="1" x14ac:dyDescent="0.35">
      <c r="B20" s="32" t="s">
        <v>75</v>
      </c>
      <c r="C20" s="33">
        <v>6</v>
      </c>
      <c r="D20" s="34" t="s">
        <v>96</v>
      </c>
      <c r="E20" s="35" t="s">
        <v>97</v>
      </c>
      <c r="F20" s="145"/>
      <c r="G20" s="62">
        <f>SUM(H20:I20,K20)</f>
        <v>0</v>
      </c>
      <c r="H20" s="36">
        <f>'Ind AIS N°6'!D8</f>
        <v>0</v>
      </c>
      <c r="I20" s="36">
        <f>'Ind AIS N°6'!E8</f>
        <v>0</v>
      </c>
      <c r="J20" s="76"/>
      <c r="K20" s="76">
        <f>'Ind AIS N°6'!G8</f>
        <v>0</v>
      </c>
      <c r="L20" s="82">
        <f>'Ind AIS N°6'!H8</f>
        <v>0</v>
      </c>
      <c r="M20" s="47">
        <f>'Ind AIS N°6'!I8</f>
        <v>0</v>
      </c>
      <c r="N20" s="435"/>
      <c r="O20" s="436"/>
    </row>
    <row r="21" spans="1:16" ht="14.5" thickBot="1" x14ac:dyDescent="0.35">
      <c r="A21" s="222"/>
      <c r="B21" s="415"/>
      <c r="C21" s="415"/>
      <c r="D21" s="415"/>
      <c r="E21" s="415"/>
      <c r="F21" s="415"/>
      <c r="G21" s="415"/>
      <c r="H21" s="415"/>
      <c r="I21" s="415"/>
      <c r="J21" s="415"/>
      <c r="K21" s="415"/>
      <c r="L21" s="415"/>
      <c r="M21" s="415"/>
      <c r="N21" s="222"/>
      <c r="O21" s="222"/>
      <c r="P21" s="222"/>
    </row>
    <row r="22" spans="1:16" ht="76.5" customHeight="1" thickBot="1" x14ac:dyDescent="0.35">
      <c r="B22" s="51"/>
      <c r="C22" s="307"/>
      <c r="D22" s="57" t="s">
        <v>98</v>
      </c>
      <c r="E22" s="58"/>
      <c r="F22" s="59"/>
      <c r="G22" s="63"/>
      <c r="H22" s="60"/>
      <c r="I22" s="55"/>
      <c r="J22" s="87"/>
      <c r="K22" s="87"/>
      <c r="L22" s="88"/>
      <c r="M22" s="56"/>
      <c r="N22" s="346" t="s">
        <v>114</v>
      </c>
      <c r="O22" s="209" t="s">
        <v>115</v>
      </c>
    </row>
    <row r="23" spans="1:16" s="6" customFormat="1" ht="80.150000000000006" customHeight="1" thickBot="1" x14ac:dyDescent="0.35">
      <c r="B23" s="32" t="s">
        <v>75</v>
      </c>
      <c r="C23" s="42">
        <v>7</v>
      </c>
      <c r="D23" s="34" t="s">
        <v>99</v>
      </c>
      <c r="E23" s="35" t="s">
        <v>100</v>
      </c>
      <c r="F23" s="145"/>
      <c r="G23" s="62">
        <f t="shared" ref="G23" si="1">SUM(H23:I23,K23)</f>
        <v>0</v>
      </c>
      <c r="H23" s="36">
        <f>'Ind AIS N°7'!D8</f>
        <v>0</v>
      </c>
      <c r="I23" s="36">
        <f>'Ind AIS N°7'!E8</f>
        <v>0</v>
      </c>
      <c r="J23" s="43">
        <f>'Ind AIS N°7'!F8</f>
        <v>0</v>
      </c>
      <c r="K23" s="76">
        <f>'Ind AIS N°7'!G8</f>
        <v>0</v>
      </c>
      <c r="L23" s="82">
        <f>'Ind AIS N°7'!H8</f>
        <v>0</v>
      </c>
      <c r="M23" s="47">
        <f>'Ind AIS N°7'!I8</f>
        <v>0</v>
      </c>
      <c r="N23" s="82" t="str">
        <f>'Ind AIS N°7'!J8</f>
        <v>…..</v>
      </c>
      <c r="O23" s="47" t="str">
        <f>'Ind AIS N°7'!K8</f>
        <v>…..</v>
      </c>
    </row>
    <row r="24" spans="1:16" s="6" customFormat="1" ht="95.15" customHeight="1" thickBot="1" x14ac:dyDescent="0.35">
      <c r="B24" s="32" t="s">
        <v>101</v>
      </c>
      <c r="C24" s="33">
        <v>8</v>
      </c>
      <c r="D24" s="34" t="s">
        <v>102</v>
      </c>
      <c r="E24" s="35" t="s">
        <v>103</v>
      </c>
      <c r="F24" s="145"/>
      <c r="G24" s="62">
        <f>SUM(H24:I24,K24)</f>
        <v>0</v>
      </c>
      <c r="H24" s="36">
        <f>'Ind AIS N°8'!D8</f>
        <v>0</v>
      </c>
      <c r="I24" s="36">
        <f>'Ind AIS N°8'!E8</f>
        <v>0</v>
      </c>
      <c r="J24" s="43"/>
      <c r="K24" s="76">
        <f>'Ind AIS N°8'!F8</f>
        <v>0</v>
      </c>
      <c r="L24" s="82">
        <f>'Ind AIS N°8'!G8</f>
        <v>0</v>
      </c>
      <c r="M24" s="47">
        <f>'Ind AIS N°8'!H8</f>
        <v>0</v>
      </c>
      <c r="N24" s="82" t="str">
        <f>'Ind AIS N°8'!I8</f>
        <v>…..</v>
      </c>
      <c r="O24" s="47" t="str">
        <f>'Ind AIS N°8'!J8</f>
        <v>…..</v>
      </c>
    </row>
    <row r="25" spans="1:16" ht="14.5" thickBot="1" x14ac:dyDescent="0.35">
      <c r="B25" s="414"/>
      <c r="C25" s="414"/>
      <c r="D25" s="414"/>
      <c r="E25" s="414"/>
      <c r="F25" s="414"/>
      <c r="G25" s="414"/>
      <c r="H25" s="414"/>
      <c r="I25" s="414"/>
      <c r="J25" s="414"/>
      <c r="K25" s="414"/>
      <c r="L25" s="414"/>
      <c r="M25" s="414"/>
    </row>
    <row r="26" spans="1:16" ht="80.150000000000006" customHeight="1" thickBot="1" x14ac:dyDescent="0.35">
      <c r="B26" s="51"/>
      <c r="C26" s="307"/>
      <c r="D26" s="57" t="s">
        <v>104</v>
      </c>
      <c r="E26" s="58"/>
      <c r="F26" s="59"/>
      <c r="G26" s="63"/>
      <c r="H26" s="60"/>
      <c r="I26" s="55"/>
      <c r="J26" s="87"/>
      <c r="K26" s="87"/>
      <c r="L26" s="88"/>
      <c r="M26" s="56"/>
      <c r="N26" s="346" t="s">
        <v>114</v>
      </c>
      <c r="O26" s="304" t="s">
        <v>115</v>
      </c>
    </row>
    <row r="27" spans="1:16" s="6" customFormat="1" ht="80.150000000000006" customHeight="1" thickBot="1" x14ac:dyDescent="0.35">
      <c r="B27" s="73" t="s">
        <v>75</v>
      </c>
      <c r="C27" s="307">
        <v>9</v>
      </c>
      <c r="D27" s="308" t="s">
        <v>105</v>
      </c>
      <c r="E27" s="24" t="s">
        <v>106</v>
      </c>
      <c r="F27" s="146"/>
      <c r="G27" s="71">
        <f>SUM(H27:I27,K27)</f>
        <v>0</v>
      </c>
      <c r="H27" s="72">
        <f>'Ind AIS N°9'!D8</f>
        <v>0</v>
      </c>
      <c r="I27" s="72">
        <f>'Ind AIS N°9'!E8</f>
        <v>0</v>
      </c>
      <c r="J27" s="43">
        <f>'Ind AIS N°9'!F8</f>
        <v>0</v>
      </c>
      <c r="K27" s="89">
        <f>'Ind AIS N°9'!G8</f>
        <v>0</v>
      </c>
      <c r="L27" s="90">
        <f>'Ind AIS N°9'!H8</f>
        <v>0</v>
      </c>
      <c r="M27" s="89">
        <f>'Ind AIS N°9'!I8</f>
        <v>0</v>
      </c>
      <c r="N27" s="82" t="str">
        <f>'Ind AIS N°9'!J8</f>
        <v>…..</v>
      </c>
      <c r="O27" s="37" t="str">
        <f>'Ind AIS N°9'!K8</f>
        <v>…..</v>
      </c>
    </row>
    <row r="28" spans="1:16" ht="14.5" thickBot="1" x14ac:dyDescent="0.35">
      <c r="B28" s="413"/>
      <c r="C28" s="413"/>
      <c r="D28" s="413"/>
      <c r="E28" s="413"/>
      <c r="F28" s="413"/>
      <c r="G28" s="413"/>
      <c r="H28" s="413"/>
      <c r="I28" s="413"/>
      <c r="J28" s="413"/>
      <c r="K28" s="413"/>
      <c r="L28" s="413"/>
      <c r="M28" s="413"/>
    </row>
    <row r="29" spans="1:16" ht="70" customHeight="1" thickBot="1" x14ac:dyDescent="0.35">
      <c r="B29" s="51"/>
      <c r="C29" s="307"/>
      <c r="D29" s="57" t="s">
        <v>107</v>
      </c>
      <c r="E29" s="58"/>
      <c r="F29" s="59"/>
      <c r="G29" s="63"/>
      <c r="H29" s="60"/>
      <c r="I29" s="55"/>
      <c r="J29" s="87"/>
      <c r="K29" s="87"/>
      <c r="L29" s="88"/>
      <c r="M29" s="56"/>
      <c r="N29" s="346" t="s">
        <v>114</v>
      </c>
      <c r="O29" s="209" t="s">
        <v>115</v>
      </c>
    </row>
    <row r="30" spans="1:16" ht="80.150000000000006" customHeight="1" thickBot="1" x14ac:dyDescent="0.35">
      <c r="B30" s="73" t="s">
        <v>75</v>
      </c>
      <c r="C30" s="307" t="s">
        <v>1</v>
      </c>
      <c r="D30" s="49" t="s">
        <v>108</v>
      </c>
      <c r="E30" s="50" t="s">
        <v>109</v>
      </c>
      <c r="F30" s="59"/>
      <c r="G30" s="62">
        <f>SUM(H30:I30,K30)</f>
        <v>0</v>
      </c>
      <c r="H30" s="36">
        <f>'Ind AIS N°11a'!D8</f>
        <v>0</v>
      </c>
      <c r="I30" s="36">
        <f>'Ind AIS N°11a'!E8</f>
        <v>0</v>
      </c>
      <c r="J30" s="43">
        <f>'Ind AIS N°11a'!F8</f>
        <v>0</v>
      </c>
      <c r="K30" s="76">
        <f>'Ind AIS N°11a'!G8</f>
        <v>0</v>
      </c>
      <c r="L30" s="82">
        <f>'Ind AIS N°11a'!H8</f>
        <v>0</v>
      </c>
      <c r="M30" s="47">
        <f>'Ind AIS N°11a'!I8</f>
        <v>0</v>
      </c>
      <c r="N30" s="82" t="str">
        <f>'Ind AIS N°11a'!J8</f>
        <v>…..</v>
      </c>
      <c r="O30" s="47" t="str">
        <f>'Ind AIS N°11a'!K8</f>
        <v>…..</v>
      </c>
    </row>
    <row r="31" spans="1:16" ht="80.150000000000006" customHeight="1" thickBot="1" x14ac:dyDescent="0.35">
      <c r="B31" s="73" t="s">
        <v>75</v>
      </c>
      <c r="C31" s="307" t="s">
        <v>2</v>
      </c>
      <c r="D31" s="49" t="s">
        <v>110</v>
      </c>
      <c r="E31" s="50" t="s">
        <v>111</v>
      </c>
      <c r="F31" s="59"/>
      <c r="G31" s="62">
        <f t="shared" ref="G31" si="2">SUM(H31:I31,K31)</f>
        <v>0</v>
      </c>
      <c r="H31" s="36">
        <f>'Ind AIS N°11b'!D8</f>
        <v>0</v>
      </c>
      <c r="I31" s="36">
        <f>'Ind AIS N°11b'!E8</f>
        <v>0</v>
      </c>
      <c r="J31" s="43">
        <f>'Ind AIS N°11b'!F8</f>
        <v>0</v>
      </c>
      <c r="K31" s="76">
        <f>'Ind AIS N°11b'!G8</f>
        <v>0</v>
      </c>
      <c r="L31" s="82">
        <f>'Ind AIS N°11b'!H8</f>
        <v>0</v>
      </c>
      <c r="M31" s="47">
        <f>'Ind AIS N°11b'!I8</f>
        <v>0</v>
      </c>
      <c r="N31" s="82" t="str">
        <f>'Ind AIS N°11b'!J8</f>
        <v>…..</v>
      </c>
      <c r="O31" s="47" t="str">
        <f>'Ind AIS N°11b'!K8</f>
        <v>…..</v>
      </c>
    </row>
    <row r="32" spans="1:16" ht="14.5" thickBot="1" x14ac:dyDescent="0.35">
      <c r="B32" s="413"/>
      <c r="C32" s="413"/>
      <c r="D32" s="413"/>
      <c r="E32" s="413"/>
      <c r="F32" s="413"/>
      <c r="G32" s="413"/>
      <c r="H32" s="413"/>
      <c r="I32" s="413"/>
      <c r="J32" s="413"/>
      <c r="K32" s="413"/>
      <c r="L32" s="413"/>
      <c r="M32" s="413"/>
    </row>
    <row r="33" spans="2:15" ht="73.5" customHeight="1" thickBot="1" x14ac:dyDescent="0.35">
      <c r="B33" s="51"/>
      <c r="C33" s="307"/>
      <c r="D33" s="52" t="s">
        <v>112</v>
      </c>
      <c r="E33" s="53"/>
      <c r="F33" s="54"/>
      <c r="G33" s="61"/>
      <c r="H33" s="60"/>
      <c r="I33" s="55"/>
      <c r="J33" s="87"/>
      <c r="K33" s="87"/>
      <c r="L33" s="88"/>
      <c r="M33" s="56"/>
      <c r="N33" s="346" t="s">
        <v>114</v>
      </c>
      <c r="O33" s="209" t="s">
        <v>115</v>
      </c>
    </row>
    <row r="34" spans="2:15" ht="80.150000000000006" customHeight="1" thickBot="1" x14ac:dyDescent="0.35">
      <c r="B34" s="73" t="s">
        <v>75</v>
      </c>
      <c r="C34" s="307">
        <v>14</v>
      </c>
      <c r="D34" s="34" t="s">
        <v>112</v>
      </c>
      <c r="E34" s="35" t="s">
        <v>113</v>
      </c>
      <c r="F34" s="54"/>
      <c r="G34" s="62">
        <f>SUM(H34:I34,K34)</f>
        <v>0</v>
      </c>
      <c r="H34" s="36">
        <f>'Ind AIS N°14'!D8</f>
        <v>0</v>
      </c>
      <c r="I34" s="36">
        <f>'Ind AIS N°14'!E8</f>
        <v>0</v>
      </c>
      <c r="J34" s="43">
        <f>'Ind AIS N°14'!F8</f>
        <v>0</v>
      </c>
      <c r="K34" s="76">
        <f>'Ind AIS N°14'!G8</f>
        <v>0</v>
      </c>
      <c r="L34" s="82">
        <f>'Ind AIS N°14'!H8</f>
        <v>0</v>
      </c>
      <c r="M34" s="47">
        <f>'Ind AIS N°14'!I8</f>
        <v>0</v>
      </c>
      <c r="N34" s="82" t="str">
        <f>'Ind AIS N°14'!J8</f>
        <v>…..</v>
      </c>
      <c r="O34" s="47" t="str">
        <f>'Ind AIS N°14'!K8</f>
        <v>…..</v>
      </c>
    </row>
  </sheetData>
  <sheetProtection algorithmName="SHA-512" hashValue="+JzpYFGXv8NMFaJ8BiP4H+sDBKjdSpe682u13ospJvmlmnDKtnitLcSGH2MiHnt41zvhjYRP3fLZVKKnqw7htA==" saltValue="uaPOtnEUU9FiWzlbSRCGhw==" spinCount="100000" sheet="1" selectLockedCells="1" selectUnlockedCells="1"/>
  <customSheetViews>
    <customSheetView guid="{168849A9-FED9-4458-942F-290616B3A25C}" scale="50" showPageBreaks="1" showGridLines="0" fitToPage="1" printArea="1">
      <selection activeCell="A3" sqref="A3:N3"/>
      <pageMargins left="0.70866141732283472" right="0.70866141732283472" top="1.1811023622047245" bottom="0.78740157480314965" header="0.31496062992125984" footer="0.31496062992125984"/>
      <pageSetup paperSize="8" scale="77" fitToHeight="0" orientation="landscape" cellComments="atEnd" r:id="rId1"/>
      <headerFooter>
        <oddHeader>&amp;LKennzahlenraster KIP / IAS&amp;R&amp;G</oddHeader>
        <oddFooter>&amp;L&amp;A&amp;R&amp;P</oddFooter>
      </headerFooter>
    </customSheetView>
  </customSheetViews>
  <mergeCells count="24">
    <mergeCell ref="N20:O20"/>
    <mergeCell ref="N5:O5"/>
    <mergeCell ref="N8:O17"/>
    <mergeCell ref="E13:E14"/>
    <mergeCell ref="B2:D2"/>
    <mergeCell ref="B9:B12"/>
    <mergeCell ref="B13:B14"/>
    <mergeCell ref="D9:D12"/>
    <mergeCell ref="B1:E1"/>
    <mergeCell ref="B16:B17"/>
    <mergeCell ref="B32:M32"/>
    <mergeCell ref="B28:M28"/>
    <mergeCell ref="B25:M25"/>
    <mergeCell ref="B21:M21"/>
    <mergeCell ref="B18:D18"/>
    <mergeCell ref="E16:E17"/>
    <mergeCell ref="D16:D17"/>
    <mergeCell ref="C16:C17"/>
    <mergeCell ref="E9:E12"/>
    <mergeCell ref="C6:M6"/>
    <mergeCell ref="E5:F5"/>
    <mergeCell ref="C9:C12"/>
    <mergeCell ref="C13:C14"/>
    <mergeCell ref="D13:D14"/>
  </mergeCells>
  <pageMargins left="0.70866141732283472" right="0.70866141732283472" top="1.1811023622047245" bottom="0.78740157480314965" header="0.31496062992125984" footer="0.31496062992125984"/>
  <pageSetup paperSize="8" scale="77" fitToHeight="0" orientation="landscape" cellComments="atEnd" r:id="rId2"/>
  <headerFooter>
    <oddFooter>&amp;L&amp;A&amp;R&amp;P</oddFooter>
  </headerFooter>
  <ignoredErrors>
    <ignoredError sqref="E2"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theme="3" tint="0.59999389629810485"/>
    <pageSetUpPr fitToPage="1"/>
  </sheetPr>
  <dimension ref="B1:K64"/>
  <sheetViews>
    <sheetView showGridLines="0" zoomScale="75" zoomScaleNormal="75" zoomScalePageLayoutView="70" workbookViewId="0">
      <selection activeCell="D8" sqref="D8"/>
    </sheetView>
  </sheetViews>
  <sheetFormatPr baseColWidth="10" defaultColWidth="11" defaultRowHeight="14" x14ac:dyDescent="0.3"/>
  <cols>
    <col min="1" max="1" width="2.08203125" style="13" customWidth="1"/>
    <col min="2" max="2" width="37.33203125" style="13" customWidth="1"/>
    <col min="3" max="9" width="15.83203125" style="13" customWidth="1"/>
    <col min="10" max="10" width="2.58203125" style="13" customWidth="1"/>
    <col min="11" max="11" width="63.58203125" style="13" customWidth="1"/>
    <col min="12" max="12" width="2.08203125" style="13" customWidth="1"/>
    <col min="13" max="16384" width="11" style="13"/>
  </cols>
  <sheetData>
    <row r="1" spans="2:11" s="1" customFormat="1" ht="28" x14ac:dyDescent="0.6">
      <c r="B1" s="450" t="s">
        <v>116</v>
      </c>
      <c r="C1" s="450"/>
      <c r="D1" s="450"/>
      <c r="E1" s="450"/>
      <c r="F1" s="450"/>
      <c r="G1" s="450"/>
      <c r="H1" s="450"/>
      <c r="I1" s="450"/>
    </row>
    <row r="2" spans="2:11" s="1" customFormat="1" x14ac:dyDescent="0.3">
      <c r="B2" s="16"/>
      <c r="C2" s="16"/>
      <c r="D2" s="16"/>
      <c r="E2" s="16"/>
      <c r="F2" s="16"/>
      <c r="G2" s="16"/>
    </row>
    <row r="3" spans="2:11" s="1" customFormat="1" ht="28.5" customHeight="1" x14ac:dyDescent="0.3">
      <c r="B3" s="316" t="s">
        <v>42</v>
      </c>
      <c r="C3" s="452" t="str">
        <f>Indice!D4</f>
        <v>CH</v>
      </c>
      <c r="D3" s="452"/>
      <c r="E3" s="93"/>
      <c r="F3" s="93"/>
    </row>
    <row r="4" spans="2:11" s="1" customFormat="1" ht="28.5" customHeight="1" x14ac:dyDescent="0.3">
      <c r="B4" s="316" t="s">
        <v>51</v>
      </c>
      <c r="C4" s="451"/>
      <c r="D4" s="451"/>
      <c r="E4" s="93"/>
      <c r="F4" s="93"/>
      <c r="H4" s="94"/>
    </row>
    <row r="5" spans="2:11" ht="14.15" customHeight="1" thickBot="1" x14ac:dyDescent="0.35"/>
    <row r="6" spans="2:11" ht="45" customHeight="1" thickBot="1" x14ac:dyDescent="0.35">
      <c r="B6" s="453"/>
      <c r="C6" s="454"/>
      <c r="D6" s="454"/>
      <c r="E6" s="454"/>
      <c r="F6" s="454"/>
      <c r="G6" s="454"/>
      <c r="H6" s="454"/>
      <c r="I6" s="455"/>
      <c r="K6" s="67" t="s">
        <v>57</v>
      </c>
    </row>
    <row r="7" spans="2:11" s="16" customFormat="1" ht="45" customHeight="1" thickBot="1" x14ac:dyDescent="0.35">
      <c r="B7" s="160" t="s">
        <v>117</v>
      </c>
      <c r="C7" s="156" t="s">
        <v>56</v>
      </c>
      <c r="D7" s="157" t="s">
        <v>68</v>
      </c>
      <c r="E7" s="157" t="s">
        <v>118</v>
      </c>
      <c r="F7" s="157" t="s">
        <v>181</v>
      </c>
      <c r="G7" s="157" t="s">
        <v>70</v>
      </c>
      <c r="H7" s="158" t="s">
        <v>119</v>
      </c>
      <c r="I7" s="159" t="s">
        <v>120</v>
      </c>
      <c r="J7" s="13"/>
      <c r="K7" s="456"/>
    </row>
    <row r="8" spans="2:11" ht="60" customHeight="1" thickBot="1" x14ac:dyDescent="0.35">
      <c r="B8" s="310" t="s">
        <v>77</v>
      </c>
      <c r="C8" s="96">
        <f>SUM(D8:E8, G8)</f>
        <v>0</v>
      </c>
      <c r="D8" s="97"/>
      <c r="E8" s="98"/>
      <c r="F8" s="98"/>
      <c r="G8" s="98"/>
      <c r="H8" s="120"/>
      <c r="I8" s="99"/>
      <c r="K8" s="457"/>
    </row>
    <row r="9" spans="2:11" ht="43.5" customHeight="1" thickBot="1" x14ac:dyDescent="0.35">
      <c r="B9" s="255" t="s">
        <v>222</v>
      </c>
      <c r="C9" s="256">
        <f>SUM(D9:E9, G9)</f>
        <v>4906</v>
      </c>
      <c r="D9" s="257">
        <f>VLOOKUP($C$3,bestand_ias,3,FALSE)</f>
        <v>2346</v>
      </c>
      <c r="E9" s="257">
        <f>VLOOKUP($C$3,bestand_ias,4,FALSE)</f>
        <v>2560</v>
      </c>
      <c r="F9" s="257">
        <f>VLOOKUP($C$3,bestand_ias,5,FALSE)</f>
        <v>44464</v>
      </c>
      <c r="G9" s="257" t="s">
        <v>33</v>
      </c>
      <c r="H9" s="257">
        <f>VLOOKUP($C$3,bestand_ias,6,FALSE)</f>
        <v>1594</v>
      </c>
      <c r="I9" s="258">
        <f>VLOOKUP($C$3,bestand_ias,7,FALSE)</f>
        <v>3312</v>
      </c>
      <c r="K9" s="457"/>
    </row>
    <row r="10" spans="2:11" ht="14.15" customHeight="1" x14ac:dyDescent="0.3">
      <c r="B10" s="13" t="s">
        <v>223</v>
      </c>
      <c r="K10" s="457"/>
    </row>
    <row r="11" spans="2:11" ht="14.15" customHeight="1" thickBot="1" x14ac:dyDescent="0.35">
      <c r="K11" s="457"/>
    </row>
    <row r="12" spans="2:11" ht="45" customHeight="1" thickBot="1" x14ac:dyDescent="0.35">
      <c r="B12" s="459" t="s">
        <v>121</v>
      </c>
      <c r="C12" s="460"/>
      <c r="D12" s="460"/>
      <c r="E12" s="460"/>
      <c r="F12" s="460"/>
      <c r="G12" s="460"/>
      <c r="H12" s="460"/>
      <c r="I12" s="461"/>
      <c r="J12" s="14"/>
      <c r="K12" s="457"/>
    </row>
    <row r="13" spans="2:11" ht="37.5" customHeight="1" x14ac:dyDescent="0.3">
      <c r="B13" s="18" t="s">
        <v>122</v>
      </c>
      <c r="C13" s="462" t="s">
        <v>182</v>
      </c>
      <c r="D13" s="462"/>
      <c r="E13" s="462"/>
      <c r="F13" s="462"/>
      <c r="G13" s="462"/>
      <c r="H13" s="462"/>
      <c r="I13" s="463"/>
      <c r="J13" s="12"/>
      <c r="K13" s="457"/>
    </row>
    <row r="14" spans="2:11" ht="121.5" customHeight="1" x14ac:dyDescent="0.3">
      <c r="B14" s="19" t="s">
        <v>55</v>
      </c>
      <c r="C14" s="464" t="s">
        <v>124</v>
      </c>
      <c r="D14" s="464"/>
      <c r="E14" s="464"/>
      <c r="F14" s="464"/>
      <c r="G14" s="464"/>
      <c r="H14" s="464"/>
      <c r="I14" s="465"/>
      <c r="J14" s="12"/>
      <c r="K14" s="457"/>
    </row>
    <row r="15" spans="2:11" ht="67" customHeight="1" thickBot="1" x14ac:dyDescent="0.35">
      <c r="B15" s="20" t="s">
        <v>123</v>
      </c>
      <c r="C15" s="466" t="s">
        <v>183</v>
      </c>
      <c r="D15" s="466"/>
      <c r="E15" s="466"/>
      <c r="F15" s="466"/>
      <c r="G15" s="466"/>
      <c r="H15" s="466"/>
      <c r="I15" s="467"/>
      <c r="J15" s="12"/>
      <c r="K15" s="458"/>
    </row>
    <row r="16" spans="2:11" ht="14.15" customHeight="1" x14ac:dyDescent="0.3"/>
    <row r="17" spans="3:3" ht="14.15" customHeight="1" x14ac:dyDescent="0.3"/>
    <row r="18" spans="3:3" ht="14.15" customHeight="1" x14ac:dyDescent="0.3"/>
    <row r="19" spans="3:3" ht="14.15" customHeight="1" x14ac:dyDescent="0.3">
      <c r="C19" s="17"/>
    </row>
    <row r="20" spans="3:3" ht="14.15" customHeight="1" x14ac:dyDescent="0.3"/>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row r="31" spans="3:3" ht="14.15" customHeight="1" x14ac:dyDescent="0.3"/>
    <row r="32" spans="3:3"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row r="47" ht="14.15" customHeight="1" x14ac:dyDescent="0.3"/>
    <row r="48" ht="14.15" customHeight="1" x14ac:dyDescent="0.3"/>
    <row r="49" ht="14.15" customHeight="1" x14ac:dyDescent="0.3"/>
    <row r="50" ht="14.15" customHeight="1" x14ac:dyDescent="0.3"/>
    <row r="51" ht="14.15" customHeight="1" x14ac:dyDescent="0.3"/>
    <row r="52" ht="14.15" customHeight="1" x14ac:dyDescent="0.3"/>
    <row r="53" ht="14.15" customHeight="1" x14ac:dyDescent="0.3"/>
    <row r="54" ht="14.15" customHeight="1" x14ac:dyDescent="0.3"/>
    <row r="55" ht="14.15" customHeight="1" x14ac:dyDescent="0.3"/>
    <row r="56" ht="14.15" customHeight="1" x14ac:dyDescent="0.3"/>
    <row r="57" ht="14.15" customHeight="1" x14ac:dyDescent="0.3"/>
    <row r="58" ht="14.15" customHeight="1" x14ac:dyDescent="0.3"/>
    <row r="59" ht="14.15" customHeight="1" x14ac:dyDescent="0.3"/>
    <row r="60" ht="14.15" customHeight="1" x14ac:dyDescent="0.3"/>
    <row r="61" ht="14.15" customHeight="1" x14ac:dyDescent="0.3"/>
    <row r="62" ht="14.15" customHeight="1" x14ac:dyDescent="0.3"/>
    <row r="63" ht="14.15" customHeight="1" x14ac:dyDescent="0.3"/>
    <row r="64" ht="14.15" customHeight="1" x14ac:dyDescent="0.3"/>
  </sheetData>
  <sheetProtection algorithmName="SHA-512" hashValue="upPA2+gyql9Kw5xo/7MzzZ+rMDh6C+DhWxwkrdLX4HXolyVFTinPEJRhjtX4fiF5aWcPSPRDdZIaeDwgMAok1w==" saltValue="ioUPz6X9NYiKNN0294WNDg==" spinCount="100000" sheet="1" selectLockedCells="1"/>
  <protectedRanges>
    <protectedRange password="CAA2" sqref="C8:C9" name="Summe"/>
  </protectedRanges>
  <sortState xmlns:xlrd2="http://schemas.microsoft.com/office/spreadsheetml/2017/richdata2" ref="B5:B30">
    <sortCondition ref="B5"/>
  </sortState>
  <customSheetViews>
    <customSheetView guid="{168849A9-FED9-4458-942F-290616B3A25C}" scale="70" showPageBreaks="1" showGridLines="0" fitToPage="1" printArea="1" view="pageLayout" topLeftCell="A7">
      <selection activeCell="C15" sqref="C15:H15"/>
      <pageMargins left="0.70866141732283472" right="0.70866141732283472" top="1.1811023622047245" bottom="0.78740157480314965" header="0.31496062992125984" footer="0.31496062992125984"/>
      <pageSetup paperSize="8" scale="87" fitToHeight="0" orientation="landscape" cellComments="atEnd" r:id="rId1"/>
      <headerFooter>
        <oddHeader>&amp;LKennzahlenraster KIP / IAS&amp;R&amp;G</oddHeader>
        <oddFooter>&amp;L&amp;A: Erstinformation&amp;R&amp;P</oddFooter>
      </headerFooter>
    </customSheetView>
  </customSheetViews>
  <mergeCells count="9">
    <mergeCell ref="B1:I1"/>
    <mergeCell ref="C4:D4"/>
    <mergeCell ref="C3:D3"/>
    <mergeCell ref="B6:I6"/>
    <mergeCell ref="K7:K15"/>
    <mergeCell ref="B12:I12"/>
    <mergeCell ref="C13:I13"/>
    <mergeCell ref="C14:I14"/>
    <mergeCell ref="C15:I15"/>
  </mergeCells>
  <dataValidations count="3">
    <dataValidation type="whole" operator="greaterThanOrEqual" allowBlank="1" showErrorMessage="1" errorTitle="Fehler" error="Solo i numeri interi e positivi sono validi (0, 200, etc.). " promptTitle="Ganze Zahlen" prompt="Nur ganzzahlige Werte (0, 1, 200 etc.)" sqref="D8:I8" xr:uid="{00000000-0002-0000-0400-000000000000}">
      <formula1>0</formula1>
    </dataValidation>
    <dataValidation type="date" allowBlank="1" showInputMessage="1" showErrorMessage="1" errorTitle="Data del rilevamento" error="Si prega di compilare" promptTitle="Data del rilevamento" prompt="Si prega di compilare" sqref="C4:D4" xr:uid="{00000000-0002-0000-0400-000001000000}">
      <formula1>44927</formula1>
      <formula2>45291</formula2>
    </dataValidation>
    <dataValidation operator="greaterThanOrEqual" allowBlank="1" sqref="D9:I9" xr:uid="{00000000-0002-0000-0400-000002000000}"/>
  </dataValidations>
  <pageMargins left="0.70866141732283472" right="0.70866141732283472" top="1.1811023622047245" bottom="0.78740157480314965" header="0.31496062992125984" footer="0.31496062992125984"/>
  <pageSetup paperSize="8" scale="87" fitToHeight="0" orientation="landscape" cellComments="atEnd" r:id="rId2"/>
  <headerFooter>
    <oddFooter>&amp;L&amp;A: Erstinformation&amp;R&amp;P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6">
    <tabColor theme="3" tint="0.59999389629810485"/>
    <pageSetUpPr fitToPage="1"/>
  </sheetPr>
  <dimension ref="B1:L45"/>
  <sheetViews>
    <sheetView showGridLines="0" zoomScale="75" zoomScaleNormal="75" workbookViewId="0">
      <selection activeCell="E8" sqref="E8"/>
    </sheetView>
  </sheetViews>
  <sheetFormatPr baseColWidth="10" defaultColWidth="11" defaultRowHeight="14" x14ac:dyDescent="0.3"/>
  <cols>
    <col min="1" max="1" width="2.08203125" style="13" customWidth="1"/>
    <col min="2" max="2" width="37.33203125" style="13" customWidth="1"/>
    <col min="3" max="3" width="30.83203125" style="13" customWidth="1"/>
    <col min="4" max="10" width="15.83203125" style="13" customWidth="1"/>
    <col min="11" max="11" width="2.58203125" style="13" customWidth="1"/>
    <col min="12" max="12" width="63.58203125" style="13" customWidth="1"/>
    <col min="13" max="13" width="2.08203125" style="13" customWidth="1"/>
    <col min="14" max="16384" width="11" style="13"/>
  </cols>
  <sheetData>
    <row r="1" spans="2:12" s="1" customFormat="1" ht="28" x14ac:dyDescent="0.6">
      <c r="B1" s="450" t="s">
        <v>125</v>
      </c>
      <c r="C1" s="450"/>
      <c r="D1" s="450"/>
      <c r="E1" s="450"/>
      <c r="F1" s="450"/>
      <c r="G1" s="450"/>
      <c r="H1" s="450"/>
      <c r="I1" s="450"/>
      <c r="J1" s="450"/>
    </row>
    <row r="2" spans="2:12" s="1" customFormat="1" x14ac:dyDescent="0.3">
      <c r="B2" s="16"/>
      <c r="C2" s="16"/>
      <c r="E2" s="16"/>
      <c r="F2" s="16"/>
      <c r="G2" s="16"/>
    </row>
    <row r="3" spans="2:12" s="1" customFormat="1" ht="28.5" customHeight="1" x14ac:dyDescent="0.3">
      <c r="B3" s="316" t="s">
        <v>42</v>
      </c>
      <c r="C3" s="117" t="str">
        <f>Indice!D4</f>
        <v>CH</v>
      </c>
      <c r="E3" s="93"/>
    </row>
    <row r="4" spans="2:12" s="1" customFormat="1" ht="28.5" customHeight="1" x14ac:dyDescent="0.3">
      <c r="B4" s="316" t="s">
        <v>51</v>
      </c>
      <c r="C4" s="118"/>
      <c r="E4" s="93"/>
      <c r="H4" s="94"/>
    </row>
    <row r="5" spans="2:12" ht="14.15" customHeight="1" thickBot="1" x14ac:dyDescent="0.35">
      <c r="B5" s="15"/>
      <c r="C5" s="15"/>
    </row>
    <row r="6" spans="2:12" ht="45" customHeight="1" thickBot="1" x14ac:dyDescent="0.35">
      <c r="B6" s="468"/>
      <c r="C6" s="469"/>
      <c r="D6" s="469"/>
      <c r="E6" s="469"/>
      <c r="F6" s="469"/>
      <c r="G6" s="469"/>
      <c r="H6" s="469"/>
      <c r="I6" s="469"/>
      <c r="J6" s="470"/>
      <c r="L6" s="67" t="s">
        <v>57</v>
      </c>
    </row>
    <row r="7" spans="2:12" s="16" customFormat="1" ht="45" customHeight="1" thickBot="1" x14ac:dyDescent="0.35">
      <c r="B7" s="160" t="s">
        <v>117</v>
      </c>
      <c r="C7" s="155"/>
      <c r="D7" s="156" t="s">
        <v>56</v>
      </c>
      <c r="E7" s="157" t="s">
        <v>68</v>
      </c>
      <c r="F7" s="157" t="s">
        <v>118</v>
      </c>
      <c r="G7" s="157" t="s">
        <v>181</v>
      </c>
      <c r="H7" s="157" t="s">
        <v>70</v>
      </c>
      <c r="I7" s="158" t="s">
        <v>119</v>
      </c>
      <c r="J7" s="153" t="s">
        <v>120</v>
      </c>
      <c r="K7" s="122"/>
      <c r="L7" s="471"/>
    </row>
    <row r="8" spans="2:12" ht="50.15" customHeight="1" x14ac:dyDescent="0.3">
      <c r="B8" s="477" t="s">
        <v>80</v>
      </c>
      <c r="C8" s="22" t="s">
        <v>81</v>
      </c>
      <c r="D8" s="101">
        <f t="shared" ref="D8:D13" si="0">SUM(E8:F8, H8)</f>
        <v>0</v>
      </c>
      <c r="E8" s="97"/>
      <c r="F8" s="98"/>
      <c r="G8" s="98"/>
      <c r="H8" s="98"/>
      <c r="I8" s="120"/>
      <c r="J8" s="99"/>
      <c r="L8" s="472"/>
    </row>
    <row r="9" spans="2:12" ht="50.15" customHeight="1" x14ac:dyDescent="0.3">
      <c r="B9" s="478"/>
      <c r="C9" s="309" t="s">
        <v>82</v>
      </c>
      <c r="D9" s="102">
        <f t="shared" si="0"/>
        <v>0</v>
      </c>
      <c r="E9" s="103"/>
      <c r="F9" s="104"/>
      <c r="G9" s="104"/>
      <c r="H9" s="104"/>
      <c r="I9" s="104"/>
      <c r="J9" s="105"/>
      <c r="L9" s="472"/>
    </row>
    <row r="10" spans="2:12" ht="50.15" customHeight="1" x14ac:dyDescent="0.3">
      <c r="B10" s="478"/>
      <c r="C10" s="309" t="s">
        <v>83</v>
      </c>
      <c r="D10" s="102">
        <f t="shared" si="0"/>
        <v>0</v>
      </c>
      <c r="E10" s="103"/>
      <c r="F10" s="104"/>
      <c r="G10" s="104"/>
      <c r="H10" s="104"/>
      <c r="I10" s="104"/>
      <c r="J10" s="105"/>
      <c r="L10" s="472"/>
    </row>
    <row r="11" spans="2:12" ht="50.15" customHeight="1" thickBot="1" x14ac:dyDescent="0.35">
      <c r="B11" s="478"/>
      <c r="C11" s="23" t="s">
        <v>84</v>
      </c>
      <c r="D11" s="106">
        <f t="shared" si="0"/>
        <v>0</v>
      </c>
      <c r="E11" s="107"/>
      <c r="F11" s="108"/>
      <c r="G11" s="108"/>
      <c r="H11" s="108"/>
      <c r="I11" s="108"/>
      <c r="J11" s="109"/>
      <c r="L11" s="472"/>
    </row>
    <row r="12" spans="2:12" ht="50.15" customHeight="1" thickBot="1" x14ac:dyDescent="0.35">
      <c r="B12" s="478"/>
      <c r="C12" s="317" t="s">
        <v>56</v>
      </c>
      <c r="D12" s="119">
        <f t="shared" si="0"/>
        <v>0</v>
      </c>
      <c r="E12" s="111">
        <f t="shared" ref="E12:J12" si="1">SUM(E8:E11)</f>
        <v>0</v>
      </c>
      <c r="F12" s="112">
        <f t="shared" si="1"/>
        <v>0</v>
      </c>
      <c r="G12" s="112">
        <f t="shared" si="1"/>
        <v>0</v>
      </c>
      <c r="H12" s="112">
        <f t="shared" si="1"/>
        <v>0</v>
      </c>
      <c r="I12" s="112">
        <f t="shared" si="1"/>
        <v>0</v>
      </c>
      <c r="J12" s="113">
        <f t="shared" si="1"/>
        <v>0</v>
      </c>
      <c r="L12" s="472"/>
    </row>
    <row r="13" spans="2:12" ht="43.5" customHeight="1" thickBot="1" x14ac:dyDescent="0.35">
      <c r="B13" s="255" t="s">
        <v>222</v>
      </c>
      <c r="C13" s="255"/>
      <c r="D13" s="256">
        <f t="shared" si="0"/>
        <v>4906</v>
      </c>
      <c r="E13" s="259">
        <f>VLOOKUP($C$3,bestand_ias,3,FALSE)</f>
        <v>2346</v>
      </c>
      <c r="F13" s="260">
        <f>VLOOKUP($C$3,bestand_ias,4,FALSE)</f>
        <v>2560</v>
      </c>
      <c r="G13" s="260">
        <f>VLOOKUP($C$3,bestand_ias,5,FALSE)</f>
        <v>44464</v>
      </c>
      <c r="H13" s="260" t="s">
        <v>33</v>
      </c>
      <c r="I13" s="260">
        <f>VLOOKUP($C$3,bestand_ias,6,FALSE)</f>
        <v>1594</v>
      </c>
      <c r="J13" s="261">
        <f>VLOOKUP($C$3,bestand_ias,7,FALSE)</f>
        <v>3312</v>
      </c>
      <c r="L13" s="472"/>
    </row>
    <row r="14" spans="2:12" ht="14.15" customHeight="1" x14ac:dyDescent="0.3">
      <c r="B14" s="352" t="s">
        <v>223</v>
      </c>
      <c r="L14" s="472"/>
    </row>
    <row r="15" spans="2:12" ht="14.15" customHeight="1" thickBot="1" x14ac:dyDescent="0.35">
      <c r="L15" s="472"/>
    </row>
    <row r="16" spans="2:12" ht="45" customHeight="1" thickBot="1" x14ac:dyDescent="0.35">
      <c r="B16" s="459" t="s">
        <v>121</v>
      </c>
      <c r="C16" s="460"/>
      <c r="D16" s="460"/>
      <c r="E16" s="460"/>
      <c r="F16" s="460"/>
      <c r="G16" s="460"/>
      <c r="H16" s="460"/>
      <c r="I16" s="460"/>
      <c r="J16" s="461"/>
      <c r="K16" s="14"/>
      <c r="L16" s="472"/>
    </row>
    <row r="17" spans="2:12" ht="81" customHeight="1" x14ac:dyDescent="0.3">
      <c r="B17" s="18" t="s">
        <v>122</v>
      </c>
      <c r="C17" s="479" t="s">
        <v>184</v>
      </c>
      <c r="D17" s="480"/>
      <c r="E17" s="480"/>
      <c r="F17" s="480"/>
      <c r="G17" s="480"/>
      <c r="H17" s="480"/>
      <c r="I17" s="480"/>
      <c r="J17" s="481"/>
      <c r="K17" s="12"/>
      <c r="L17" s="472"/>
    </row>
    <row r="18" spans="2:12" ht="192" customHeight="1" x14ac:dyDescent="0.3">
      <c r="B18" s="19" t="s">
        <v>55</v>
      </c>
      <c r="C18" s="482" t="s">
        <v>216</v>
      </c>
      <c r="D18" s="483"/>
      <c r="E18" s="483"/>
      <c r="F18" s="483"/>
      <c r="G18" s="483"/>
      <c r="H18" s="483"/>
      <c r="I18" s="483"/>
      <c r="J18" s="484"/>
      <c r="K18" s="12"/>
      <c r="L18" s="472"/>
    </row>
    <row r="19" spans="2:12" ht="67" customHeight="1" thickBot="1" x14ac:dyDescent="0.35">
      <c r="B19" s="20" t="s">
        <v>123</v>
      </c>
      <c r="C19" s="474" t="s">
        <v>185</v>
      </c>
      <c r="D19" s="475"/>
      <c r="E19" s="475"/>
      <c r="F19" s="475"/>
      <c r="G19" s="475"/>
      <c r="H19" s="475"/>
      <c r="I19" s="475"/>
      <c r="J19" s="476"/>
      <c r="K19" s="12"/>
      <c r="L19" s="473"/>
    </row>
    <row r="20" spans="2:12" ht="14.15" customHeight="1" x14ac:dyDescent="0.3"/>
    <row r="21" spans="2:12" ht="14.15" customHeight="1" x14ac:dyDescent="0.3"/>
    <row r="22" spans="2:12" ht="14.15" customHeight="1" x14ac:dyDescent="0.3"/>
    <row r="23" spans="2:12" ht="14.15" customHeight="1" x14ac:dyDescent="0.3">
      <c r="D23" s="17"/>
    </row>
    <row r="24" spans="2:12" ht="14.15" customHeight="1" x14ac:dyDescent="0.3"/>
    <row r="25" spans="2:12" ht="14.15" customHeight="1" x14ac:dyDescent="0.3"/>
    <row r="26" spans="2:12" ht="14.15" customHeight="1" x14ac:dyDescent="0.3"/>
    <row r="27" spans="2:12" ht="14.15" customHeight="1" x14ac:dyDescent="0.3"/>
    <row r="28" spans="2:12" ht="14.15" customHeight="1" x14ac:dyDescent="0.3"/>
    <row r="29" spans="2:12" ht="14.15" customHeight="1" x14ac:dyDescent="0.3"/>
    <row r="30" spans="2:12" ht="14.15" customHeight="1" x14ac:dyDescent="0.3"/>
    <row r="31" spans="2:12" ht="14.15" customHeight="1" x14ac:dyDescent="0.3"/>
    <row r="32" spans="2: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sheetData>
  <sheetProtection algorithmName="SHA-512" hashValue="D1LIwCT+QLgeJf7ICnPRE/AKAmwrBDIcP+1NC2g+b62mbKax3ZRQ0ImJYlKwPLVx9DKTimbU9JVnMzwxOTaA1g==" saltValue="LK6PxjcHfJOgrj+95tJEOw==" spinCount="100000" sheet="1" selectLockedCells="1"/>
  <protectedRanges>
    <protectedRange password="CAA2" sqref="D8:D13" name="Summe"/>
  </protectedRanges>
  <customSheetViews>
    <customSheetView guid="{168849A9-FED9-4458-942F-290616B3A25C}" scale="85" showPageBreaks="1" showGridLines="0" fitToPage="1" printArea="1" topLeftCell="A13">
      <selection activeCell="C17" sqref="C17:I17"/>
      <pageMargins left="0.70866141732283472" right="0.70866141732283472" top="1.1811023622047245" bottom="0.78740157480314965" header="0.31496062992125984" footer="0.31496062992125984"/>
      <pageSetup paperSize="8" scale="77" fitToHeight="0" orientation="landscape" cellComments="atEnd" r:id="rId1"/>
      <headerFooter>
        <oddHeader>&amp;LKennzahlenraster KIP / IAS&amp;R&amp;G</oddHeader>
        <oddFooter>&amp;L&amp;A: Arbeitserfahrung&amp;R&amp;P</oddFooter>
      </headerFooter>
    </customSheetView>
  </customSheetViews>
  <mergeCells count="8">
    <mergeCell ref="B6:J6"/>
    <mergeCell ref="B1:J1"/>
    <mergeCell ref="L7:L19"/>
    <mergeCell ref="B16:J16"/>
    <mergeCell ref="C19:J19"/>
    <mergeCell ref="B8:B12"/>
    <mergeCell ref="C17:J17"/>
    <mergeCell ref="C18:J18"/>
  </mergeCells>
  <dataValidations count="5">
    <dataValidation type="whole" operator="greaterThanOrEqual" allowBlank="1" showErrorMessage="1" errorTitle="Fehler" error="Gültig sind nur positive, ganze Zahlen (0, 200, etc.). Kein Text" promptTitle="Ganze Zahlen" prompt="Nur ganzzahlige Werte (0, 1, 200 etc.)" sqref="E12:J12" xr:uid="{00000000-0002-0000-0500-000000000000}">
      <formula1>0</formula1>
    </dataValidation>
    <dataValidation type="date" allowBlank="1" showInputMessage="1" showErrorMessage="1" errorTitle="Erfassungsdatum" error="Bitte Erfassungsdatum eingeben" promptTitle="Erfassungsdatum" prompt="Bitte Erfassungsdatum eingeben" sqref="D4" xr:uid="{00000000-0002-0000-0500-000001000000}">
      <formula1>44197</formula1>
      <formula2>44561</formula2>
    </dataValidation>
    <dataValidation operator="greaterThanOrEqual" allowBlank="1" promptTitle="Ganze Zahlen" sqref="E13:J13" xr:uid="{00000000-0002-0000-0500-000002000000}"/>
    <dataValidation type="date" allowBlank="1" showInputMessage="1" showErrorMessage="1" errorTitle="Data del rilevamento" error="Si prega di compilare" promptTitle="Data del rilevamento" prompt="Si prega di compilare" sqref="C4" xr:uid="{00000000-0002-0000-0500-000003000000}">
      <formula1>44927</formula1>
      <formula2>45291</formula2>
    </dataValidation>
    <dataValidation type="whole" operator="greaterThanOrEqual" allowBlank="1" showErrorMessage="1" errorTitle="Fehler" error="Solo i numeri interi e positivi sono validi (0, 200, etc.). " promptTitle="Ganze Zahlen" prompt="Nur ganzzahlige Werte (0, 1, 200 etc.)" sqref="E8:J11" xr:uid="{00000000-0002-0000-0500-000004000000}">
      <formula1>0</formula1>
    </dataValidation>
  </dataValidations>
  <pageMargins left="0.70866141732283472" right="0.70866141732283472" top="1.1811023622047245" bottom="0.78740157480314965" header="0.31496062992125984" footer="0.31496062992125984"/>
  <pageSetup paperSize="8" scale="77" fitToHeight="0" orientation="landscape" cellComments="atEnd" r:id="rId2"/>
  <headerFooter>
    <oddFooter>&amp;L&amp;A: Arbeitserfahrung&amp;R&amp;P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theme="3" tint="0.59999389629810485"/>
    <pageSetUpPr fitToPage="1"/>
  </sheetPr>
  <dimension ref="B1:L76"/>
  <sheetViews>
    <sheetView showGridLines="0" zoomScale="75" zoomScaleNormal="75" workbookViewId="0">
      <selection activeCell="E8" sqref="E8"/>
    </sheetView>
  </sheetViews>
  <sheetFormatPr baseColWidth="10" defaultColWidth="11" defaultRowHeight="14" x14ac:dyDescent="0.3"/>
  <cols>
    <col min="1" max="1" width="2.08203125" style="13" customWidth="1"/>
    <col min="2" max="2" width="37.33203125" style="13" customWidth="1"/>
    <col min="3" max="3" width="12.08203125" style="13" customWidth="1"/>
    <col min="4" max="10" width="15.83203125" style="13" customWidth="1"/>
    <col min="11" max="11" width="2.58203125" style="13" customWidth="1"/>
    <col min="12" max="12" width="63.58203125" style="13" customWidth="1"/>
    <col min="13" max="13" width="2.08203125" style="13" customWidth="1"/>
    <col min="14" max="16384" width="11" style="13"/>
  </cols>
  <sheetData>
    <row r="1" spans="2:12" s="1" customFormat="1" ht="28" x14ac:dyDescent="0.6">
      <c r="B1" s="450" t="s">
        <v>126</v>
      </c>
      <c r="C1" s="450"/>
      <c r="D1" s="450"/>
      <c r="E1" s="450"/>
      <c r="F1" s="450"/>
      <c r="G1" s="450"/>
      <c r="H1" s="450"/>
      <c r="I1" s="450"/>
      <c r="J1" s="450"/>
    </row>
    <row r="2" spans="2:12" s="1" customFormat="1" x14ac:dyDescent="0.3">
      <c r="B2" s="16"/>
      <c r="C2" s="16"/>
      <c r="D2" s="16"/>
      <c r="E2" s="16"/>
      <c r="F2" s="16"/>
      <c r="G2" s="16"/>
    </row>
    <row r="3" spans="2:12" s="1" customFormat="1" ht="28.5" customHeight="1" x14ac:dyDescent="0.3">
      <c r="B3" s="316" t="s">
        <v>42</v>
      </c>
      <c r="C3" s="452" t="str">
        <f>Indice!D4</f>
        <v>CH</v>
      </c>
      <c r="D3" s="452"/>
      <c r="E3" s="93"/>
    </row>
    <row r="4" spans="2:12" s="1" customFormat="1" ht="28.5" customHeight="1" x14ac:dyDescent="0.3">
      <c r="B4" s="316" t="s">
        <v>51</v>
      </c>
      <c r="C4" s="451"/>
      <c r="D4" s="451"/>
      <c r="E4" s="93"/>
      <c r="H4" s="94"/>
    </row>
    <row r="5" spans="2:12" ht="14.15" customHeight="1" thickBot="1" x14ac:dyDescent="0.35"/>
    <row r="6" spans="2:12" ht="45" customHeight="1" thickBot="1" x14ac:dyDescent="0.35">
      <c r="B6" s="453"/>
      <c r="C6" s="454"/>
      <c r="D6" s="454"/>
      <c r="E6" s="454"/>
      <c r="F6" s="454"/>
      <c r="G6" s="454"/>
      <c r="H6" s="454"/>
      <c r="I6" s="454"/>
      <c r="J6" s="455"/>
      <c r="L6" s="67" t="s">
        <v>57</v>
      </c>
    </row>
    <row r="7" spans="2:12" s="16" customFormat="1" ht="45" customHeight="1" thickBot="1" x14ac:dyDescent="0.35">
      <c r="B7" s="160" t="s">
        <v>117</v>
      </c>
      <c r="C7" s="155"/>
      <c r="D7" s="156" t="s">
        <v>56</v>
      </c>
      <c r="E7" s="157" t="s">
        <v>68</v>
      </c>
      <c r="F7" s="157" t="s">
        <v>118</v>
      </c>
      <c r="G7" s="157" t="s">
        <v>181</v>
      </c>
      <c r="H7" s="157" t="s">
        <v>70</v>
      </c>
      <c r="I7" s="158" t="s">
        <v>119</v>
      </c>
      <c r="J7" s="161" t="s">
        <v>120</v>
      </c>
      <c r="K7" s="122"/>
      <c r="L7" s="485"/>
    </row>
    <row r="8" spans="2:12" ht="60" customHeight="1" x14ac:dyDescent="0.3">
      <c r="B8" s="477" t="s">
        <v>127</v>
      </c>
      <c r="C8" s="309" t="s">
        <v>87</v>
      </c>
      <c r="D8" s="102">
        <f>SUM(E8:F8, H8)</f>
        <v>0</v>
      </c>
      <c r="E8" s="97"/>
      <c r="F8" s="98"/>
      <c r="G8" s="98"/>
      <c r="H8" s="98"/>
      <c r="I8" s="120"/>
      <c r="J8" s="99"/>
      <c r="L8" s="486"/>
    </row>
    <row r="9" spans="2:12" ht="60" customHeight="1" thickBot="1" x14ac:dyDescent="0.35">
      <c r="B9" s="478"/>
      <c r="C9" s="309" t="s">
        <v>88</v>
      </c>
      <c r="D9" s="102">
        <f>SUM(E9:F9, H9)</f>
        <v>0</v>
      </c>
      <c r="E9" s="107"/>
      <c r="F9" s="108"/>
      <c r="G9" s="108"/>
      <c r="H9" s="108"/>
      <c r="I9" s="108"/>
      <c r="J9" s="109"/>
      <c r="L9" s="486"/>
    </row>
    <row r="10" spans="2:12" ht="60" customHeight="1" thickBot="1" x14ac:dyDescent="0.35">
      <c r="B10" s="492"/>
      <c r="C10" s="317" t="s">
        <v>56</v>
      </c>
      <c r="D10" s="119">
        <f>SUM(E10:F10, H10)</f>
        <v>0</v>
      </c>
      <c r="E10" s="114">
        <f t="shared" ref="E10:J10" si="0">SUM(E8:E9)</f>
        <v>0</v>
      </c>
      <c r="F10" s="115">
        <f t="shared" si="0"/>
        <v>0</v>
      </c>
      <c r="G10" s="115">
        <f t="shared" si="0"/>
        <v>0</v>
      </c>
      <c r="H10" s="115">
        <f t="shared" si="0"/>
        <v>0</v>
      </c>
      <c r="I10" s="115">
        <f t="shared" si="0"/>
        <v>0</v>
      </c>
      <c r="J10" s="116">
        <f t="shared" si="0"/>
        <v>0</v>
      </c>
      <c r="L10" s="486"/>
    </row>
    <row r="11" spans="2:12" ht="43.5" customHeight="1" thickBot="1" x14ac:dyDescent="0.35">
      <c r="B11" s="262" t="s">
        <v>222</v>
      </c>
      <c r="C11" s="255"/>
      <c r="D11" s="256">
        <f>SUM(E11:F11, H11)</f>
        <v>4906</v>
      </c>
      <c r="E11" s="263">
        <f>VLOOKUP($C$3,bestand_ias,3,FALSE)</f>
        <v>2346</v>
      </c>
      <c r="F11" s="260">
        <f>VLOOKUP($C$3,bestand_ias,4,FALSE)</f>
        <v>2560</v>
      </c>
      <c r="G11" s="260">
        <f>VLOOKUP($C$3,bestand_ias,5,FALSE)</f>
        <v>44464</v>
      </c>
      <c r="H11" s="260" t="s">
        <v>33</v>
      </c>
      <c r="I11" s="260">
        <f>VLOOKUP($C$3,bestand_ias,6,FALSE)</f>
        <v>1594</v>
      </c>
      <c r="J11" s="261">
        <f>VLOOKUP($C$3,bestand_ias,7,FALSE)</f>
        <v>3312</v>
      </c>
      <c r="L11" s="486"/>
    </row>
    <row r="12" spans="2:12" ht="14.15" customHeight="1" x14ac:dyDescent="0.3">
      <c r="B12" s="352" t="s">
        <v>223</v>
      </c>
      <c r="L12" s="486"/>
    </row>
    <row r="13" spans="2:12" ht="14.15" customHeight="1" thickBot="1" x14ac:dyDescent="0.35">
      <c r="L13" s="486"/>
    </row>
    <row r="14" spans="2:12" ht="45" customHeight="1" thickBot="1" x14ac:dyDescent="0.35">
      <c r="B14" s="459" t="s">
        <v>121</v>
      </c>
      <c r="C14" s="460"/>
      <c r="D14" s="460"/>
      <c r="E14" s="460"/>
      <c r="F14" s="460"/>
      <c r="G14" s="460"/>
      <c r="H14" s="460"/>
      <c r="I14" s="460"/>
      <c r="J14" s="461"/>
      <c r="K14" s="14"/>
      <c r="L14" s="486"/>
    </row>
    <row r="15" spans="2:12" ht="52" customHeight="1" x14ac:dyDescent="0.3">
      <c r="B15" s="18" t="s">
        <v>122</v>
      </c>
      <c r="C15" s="479" t="s">
        <v>186</v>
      </c>
      <c r="D15" s="488"/>
      <c r="E15" s="488"/>
      <c r="F15" s="488"/>
      <c r="G15" s="488"/>
      <c r="H15" s="488"/>
      <c r="I15" s="488"/>
      <c r="J15" s="489"/>
      <c r="K15" s="12"/>
      <c r="L15" s="486"/>
    </row>
    <row r="16" spans="2:12" ht="167.25" customHeight="1" x14ac:dyDescent="0.3">
      <c r="B16" s="19" t="s">
        <v>55</v>
      </c>
      <c r="C16" s="482" t="s">
        <v>217</v>
      </c>
      <c r="D16" s="490"/>
      <c r="E16" s="490"/>
      <c r="F16" s="490"/>
      <c r="G16" s="490"/>
      <c r="H16" s="490"/>
      <c r="I16" s="490"/>
      <c r="J16" s="491"/>
      <c r="K16" s="12"/>
      <c r="L16" s="486"/>
    </row>
    <row r="17" spans="2:12" ht="67" customHeight="1" thickBot="1" x14ac:dyDescent="0.35">
      <c r="B17" s="20" t="s">
        <v>123</v>
      </c>
      <c r="C17" s="474" t="s">
        <v>185</v>
      </c>
      <c r="D17" s="475"/>
      <c r="E17" s="475"/>
      <c r="F17" s="475"/>
      <c r="G17" s="475"/>
      <c r="H17" s="475"/>
      <c r="I17" s="475"/>
      <c r="J17" s="476"/>
      <c r="K17" s="12"/>
      <c r="L17" s="487"/>
    </row>
    <row r="18" spans="2:12" ht="14.15" customHeight="1" x14ac:dyDescent="0.3"/>
    <row r="19" spans="2:12" ht="14.15" customHeight="1" x14ac:dyDescent="0.3"/>
    <row r="20" spans="2:12" ht="14.15" customHeight="1" x14ac:dyDescent="0.3"/>
    <row r="21" spans="2:12" ht="14.15" customHeight="1" x14ac:dyDescent="0.3">
      <c r="D21" s="17"/>
    </row>
    <row r="22" spans="2:12" ht="14.15" customHeight="1" x14ac:dyDescent="0.3"/>
    <row r="23" spans="2:12" ht="14.15" customHeight="1" x14ac:dyDescent="0.3"/>
    <row r="24" spans="2:12" ht="14.15" customHeight="1" x14ac:dyDescent="0.3"/>
    <row r="25" spans="2:12" ht="14.15" customHeight="1" x14ac:dyDescent="0.3"/>
    <row r="26" spans="2:12" ht="14.15" customHeight="1" x14ac:dyDescent="0.3"/>
    <row r="27" spans="2:12" ht="14.15" customHeight="1" x14ac:dyDescent="0.3"/>
    <row r="28" spans="2:12" ht="14.15" customHeight="1" x14ac:dyDescent="0.3"/>
    <row r="29" spans="2:12" ht="14.15" customHeight="1" x14ac:dyDescent="0.3"/>
    <row r="30" spans="2:12" ht="14.15" customHeight="1" x14ac:dyDescent="0.3"/>
    <row r="31" spans="2:12" ht="14.15" customHeight="1" x14ac:dyDescent="0.3"/>
    <row r="32" spans="2: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row r="40" ht="14.15" customHeight="1" x14ac:dyDescent="0.3"/>
    <row r="41" ht="14.15" customHeight="1" x14ac:dyDescent="0.3"/>
    <row r="42" ht="14.15" customHeight="1" x14ac:dyDescent="0.3"/>
    <row r="43" ht="14.15" customHeight="1" x14ac:dyDescent="0.3"/>
    <row r="44" ht="14.15" customHeight="1" x14ac:dyDescent="0.3"/>
    <row r="45" ht="14.15" customHeight="1" x14ac:dyDescent="0.3"/>
    <row r="46" ht="14.15" customHeight="1" x14ac:dyDescent="0.3"/>
    <row r="47" ht="14.15" customHeight="1" x14ac:dyDescent="0.3"/>
    <row r="48" ht="14.15" customHeight="1" x14ac:dyDescent="0.3"/>
    <row r="49" ht="14.15" customHeight="1" x14ac:dyDescent="0.3"/>
    <row r="50" ht="14.15" customHeight="1" x14ac:dyDescent="0.3"/>
    <row r="51" ht="14.15" customHeight="1" x14ac:dyDescent="0.3"/>
    <row r="52" ht="14.15" customHeight="1" x14ac:dyDescent="0.3"/>
    <row r="53" ht="14.15" customHeight="1" x14ac:dyDescent="0.3"/>
    <row r="54" ht="14.15" customHeight="1" x14ac:dyDescent="0.3"/>
    <row r="55" ht="14.15" customHeight="1" x14ac:dyDescent="0.3"/>
    <row r="56" ht="14.15" customHeight="1" x14ac:dyDescent="0.3"/>
    <row r="57" ht="14.15" customHeight="1" x14ac:dyDescent="0.3"/>
    <row r="58" ht="14.15" customHeight="1" x14ac:dyDescent="0.3"/>
    <row r="59" ht="14.15" customHeight="1" x14ac:dyDescent="0.3"/>
    <row r="60" ht="14.15" customHeight="1" x14ac:dyDescent="0.3"/>
    <row r="61" ht="14.15" customHeight="1" x14ac:dyDescent="0.3"/>
    <row r="62" ht="14.15" customHeight="1" x14ac:dyDescent="0.3"/>
    <row r="63" ht="14.15" customHeight="1" x14ac:dyDescent="0.3"/>
    <row r="64" ht="14.15" customHeight="1" x14ac:dyDescent="0.3"/>
    <row r="65" ht="14.15" customHeight="1" x14ac:dyDescent="0.3"/>
    <row r="66" ht="14.15" customHeight="1" x14ac:dyDescent="0.3"/>
    <row r="67" ht="14.15" customHeight="1" x14ac:dyDescent="0.3"/>
    <row r="68" ht="14.15" customHeight="1" x14ac:dyDescent="0.3"/>
    <row r="69" ht="14.15" customHeight="1" x14ac:dyDescent="0.3"/>
    <row r="70" ht="14.15" customHeight="1" x14ac:dyDescent="0.3"/>
    <row r="71" ht="14.15" customHeight="1" x14ac:dyDescent="0.3"/>
    <row r="72" ht="14.15" customHeight="1" x14ac:dyDescent="0.3"/>
    <row r="73" ht="14.15" customHeight="1" x14ac:dyDescent="0.3"/>
    <row r="74" ht="14.15" customHeight="1" x14ac:dyDescent="0.3"/>
    <row r="75" ht="14.15" customHeight="1" x14ac:dyDescent="0.3"/>
    <row r="76" ht="14.15" customHeight="1" x14ac:dyDescent="0.3"/>
  </sheetData>
  <sheetProtection algorithmName="SHA-512" hashValue="/z3RAjUo6+7Ejc97HVIbd+Kfusmjp1hIfry6zyJYK83vJsGoUakgVXqrvA06Xa8hF4JPuWM5nZyYoQC6OwmF8A==" saltValue="EkWWSo1VJR67djROlC5QCA==" spinCount="100000" sheet="1" selectLockedCells="1"/>
  <protectedRanges>
    <protectedRange password="CAA2" sqref="D8:D11" name="Summe"/>
  </protectedRanges>
  <customSheetViews>
    <customSheetView guid="{168849A9-FED9-4458-942F-290616B3A25C}" scale="85" showPageBreaks="1" showGridLines="0" fitToPage="1" printArea="1" topLeftCell="A13">
      <selection activeCell="C16" sqref="C16:I16"/>
      <pageMargins left="0.70866141732283472" right="0.70866141732283472" top="1.1811023622047245" bottom="0.78740157480314965" header="0.31496062992125984" footer="0.31496062992125984"/>
      <pageSetup paperSize="8" scale="83" fitToHeight="0" orientation="landscape" cellComments="atEnd" r:id="rId1"/>
      <headerFooter>
        <oddHeader>&amp;LKennzahlenraster KIP / IAS&amp;R&amp;G</oddHeader>
        <oddFooter>&amp;L&amp;A: Bildung&amp;R&amp;P</oddFooter>
      </headerFooter>
    </customSheetView>
  </customSheetViews>
  <mergeCells count="10">
    <mergeCell ref="B1:J1"/>
    <mergeCell ref="L7:L17"/>
    <mergeCell ref="B14:J14"/>
    <mergeCell ref="C17:J17"/>
    <mergeCell ref="C3:D3"/>
    <mergeCell ref="C4:D4"/>
    <mergeCell ref="C15:J15"/>
    <mergeCell ref="C16:J16"/>
    <mergeCell ref="B6:J6"/>
    <mergeCell ref="B8:B10"/>
  </mergeCells>
  <dataValidations count="4">
    <dataValidation type="whole" operator="greaterThanOrEqual" allowBlank="1" showErrorMessage="1" errorTitle="Fehler" error="Gültig sind nur positive, ganze Zahlen (0, 200, etc.). Kein Text" promptTitle="Ganze Zahlen" prompt="Nur ganzzahlige Werte (0, 1, 200 etc.)" sqref="E10:J10" xr:uid="{00000000-0002-0000-0600-000000000000}">
      <formula1>0</formula1>
    </dataValidation>
    <dataValidation type="date" allowBlank="1" showInputMessage="1" showErrorMessage="1" errorTitle="Data del rilevamento" error="Si prega di compilare" promptTitle="Data del rilevamento" prompt="Si prega di compilare" sqref="C4:D4" xr:uid="{00000000-0002-0000-0600-000001000000}">
      <formula1>44927</formula1>
      <formula2>45291</formula2>
    </dataValidation>
    <dataValidation allowBlank="1" sqref="D11:J11" xr:uid="{00000000-0002-0000-0600-000002000000}"/>
    <dataValidation type="whole" operator="greaterThanOrEqual" allowBlank="1" showErrorMessage="1" errorTitle="Fehler" error="Solo i numeri interi e positivi sono validi (0, 200, etc.). " promptTitle="Ganze Zahlen" prompt="Nur ganzzahlige Werte (0, 1, 200 etc.)" sqref="E8:J9" xr:uid="{00000000-0002-0000-0600-000003000000}">
      <formula1>0</formula1>
    </dataValidation>
  </dataValidations>
  <pageMargins left="0.70866141732283472" right="0.70866141732283472" top="1.1811023622047245" bottom="0.78740157480314965" header="0.31496062992125984" footer="0.31496062992125984"/>
  <pageSetup paperSize="8" scale="83" fitToHeight="0" orientation="landscape" cellComments="atEnd" r:id="rId2"/>
  <headerFooter>
    <oddFooter>&amp;L&amp;A: Bildung&amp;R&amp;P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3" tint="0.59999389629810485"/>
    <pageSetUpPr fitToPage="1"/>
  </sheetPr>
  <dimension ref="B1:K33"/>
  <sheetViews>
    <sheetView showGridLines="0" zoomScale="75" zoomScaleNormal="75" workbookViewId="0">
      <selection activeCell="D8" sqref="D8"/>
    </sheetView>
  </sheetViews>
  <sheetFormatPr baseColWidth="10" defaultColWidth="11" defaultRowHeight="14" x14ac:dyDescent="0.3"/>
  <cols>
    <col min="1" max="1" width="2.08203125" style="13" customWidth="1"/>
    <col min="2" max="2" width="37.33203125" style="13" customWidth="1"/>
    <col min="3" max="9" width="15.83203125" style="13" customWidth="1"/>
    <col min="10" max="10" width="2.58203125" style="13" customWidth="1"/>
    <col min="11" max="11" width="63.58203125" style="13" customWidth="1"/>
    <col min="12" max="12" width="2.08203125" style="13" customWidth="1"/>
    <col min="13" max="16384" width="11" style="13"/>
  </cols>
  <sheetData>
    <row r="1" spans="2:11" s="1" customFormat="1" ht="28" x14ac:dyDescent="0.6">
      <c r="B1" s="450" t="s">
        <v>128</v>
      </c>
      <c r="C1" s="450"/>
      <c r="D1" s="450"/>
      <c r="E1" s="450"/>
      <c r="F1" s="450"/>
      <c r="G1" s="450"/>
      <c r="H1" s="450"/>
      <c r="I1" s="450"/>
    </row>
    <row r="2" spans="2:11" s="1" customFormat="1" x14ac:dyDescent="0.3">
      <c r="B2" s="16"/>
      <c r="C2" s="16"/>
      <c r="D2" s="16"/>
      <c r="E2" s="16"/>
      <c r="F2" s="16"/>
      <c r="G2" s="16"/>
    </row>
    <row r="3" spans="2:11" s="1" customFormat="1" ht="28.5" customHeight="1" x14ac:dyDescent="0.3">
      <c r="B3" s="316" t="s">
        <v>42</v>
      </c>
      <c r="C3" s="452" t="str">
        <f>Indice!D4</f>
        <v>CH</v>
      </c>
      <c r="D3" s="452"/>
      <c r="E3" s="93"/>
      <c r="F3" s="93"/>
    </row>
    <row r="4" spans="2:11" s="1" customFormat="1" ht="28.5" customHeight="1" x14ac:dyDescent="0.3">
      <c r="B4" s="316" t="s">
        <v>51</v>
      </c>
      <c r="C4" s="451"/>
      <c r="D4" s="451"/>
      <c r="E4" s="93"/>
      <c r="F4" s="93"/>
      <c r="H4" s="94"/>
    </row>
    <row r="5" spans="2:11" ht="14.15" customHeight="1" thickBot="1" x14ac:dyDescent="0.35"/>
    <row r="6" spans="2:11" ht="45" customHeight="1" thickBot="1" x14ac:dyDescent="0.35">
      <c r="B6" s="453"/>
      <c r="C6" s="454"/>
      <c r="D6" s="454"/>
      <c r="E6" s="454"/>
      <c r="F6" s="454"/>
      <c r="G6" s="454"/>
      <c r="H6" s="454"/>
      <c r="I6" s="455"/>
      <c r="K6" s="67" t="s">
        <v>57</v>
      </c>
    </row>
    <row r="7" spans="2:11" s="16" customFormat="1" ht="45" customHeight="1" thickBot="1" x14ac:dyDescent="0.35">
      <c r="B7" s="160" t="s">
        <v>117</v>
      </c>
      <c r="C7" s="156" t="s">
        <v>56</v>
      </c>
      <c r="D7" s="157" t="s">
        <v>68</v>
      </c>
      <c r="E7" s="157" t="s">
        <v>118</v>
      </c>
      <c r="F7" s="157" t="s">
        <v>181</v>
      </c>
      <c r="G7" s="157" t="s">
        <v>70</v>
      </c>
      <c r="H7" s="158" t="s">
        <v>119</v>
      </c>
      <c r="I7" s="159" t="s">
        <v>120</v>
      </c>
      <c r="J7" s="122"/>
      <c r="K7" s="471"/>
    </row>
    <row r="8" spans="2:11" ht="60" customHeight="1" thickBot="1" x14ac:dyDescent="0.35">
      <c r="B8" s="310" t="s">
        <v>90</v>
      </c>
      <c r="C8" s="96">
        <f>SUM(D8:E8, G8)</f>
        <v>0</v>
      </c>
      <c r="D8" s="97"/>
      <c r="E8" s="98"/>
      <c r="F8" s="98"/>
      <c r="G8" s="98"/>
      <c r="H8" s="120"/>
      <c r="I8" s="99"/>
      <c r="K8" s="472"/>
    </row>
    <row r="9" spans="2:11" ht="43.5" customHeight="1" thickBot="1" x14ac:dyDescent="0.35">
      <c r="B9" s="264" t="s">
        <v>222</v>
      </c>
      <c r="C9" s="265">
        <f>SUM(D9:E9, G9)</f>
        <v>4906</v>
      </c>
      <c r="D9" s="263">
        <f>VLOOKUP($C$3,bestand_ias,3,FALSE)</f>
        <v>2346</v>
      </c>
      <c r="E9" s="260">
        <f>VLOOKUP($C$3,bestand_ias,4,FALSE)</f>
        <v>2560</v>
      </c>
      <c r="F9" s="260">
        <f>VLOOKUP($C$3,bestand_ias,5,FALSE)</f>
        <v>44464</v>
      </c>
      <c r="G9" s="260" t="s">
        <v>33</v>
      </c>
      <c r="H9" s="260">
        <f>VLOOKUP($C$3,bestand_ias,6,FALSE)</f>
        <v>1594</v>
      </c>
      <c r="I9" s="261">
        <f>VLOOKUP($C$3,bestand_ias,7,FALSE)</f>
        <v>3312</v>
      </c>
      <c r="K9" s="472"/>
    </row>
    <row r="10" spans="2:11" ht="14.15" customHeight="1" x14ac:dyDescent="0.3">
      <c r="B10" s="352" t="s">
        <v>223</v>
      </c>
      <c r="K10" s="472"/>
    </row>
    <row r="11" spans="2:11" ht="14.15" customHeight="1" thickBot="1" x14ac:dyDescent="0.35">
      <c r="K11" s="472"/>
    </row>
    <row r="12" spans="2:11" ht="14.5" thickBot="1" x14ac:dyDescent="0.35">
      <c r="B12" s="459" t="s">
        <v>121</v>
      </c>
      <c r="C12" s="460"/>
      <c r="D12" s="460"/>
      <c r="E12" s="460"/>
      <c r="F12" s="460"/>
      <c r="G12" s="460"/>
      <c r="H12" s="460"/>
      <c r="I12" s="461"/>
      <c r="J12" s="14"/>
      <c r="K12" s="472"/>
    </row>
    <row r="13" spans="2:11" ht="37.5" customHeight="1" x14ac:dyDescent="0.3">
      <c r="B13" s="18" t="s">
        <v>122</v>
      </c>
      <c r="C13" s="462" t="s">
        <v>187</v>
      </c>
      <c r="D13" s="462"/>
      <c r="E13" s="462"/>
      <c r="F13" s="462"/>
      <c r="G13" s="462"/>
      <c r="H13" s="462"/>
      <c r="I13" s="463"/>
      <c r="J13" s="12"/>
      <c r="K13" s="472"/>
    </row>
    <row r="14" spans="2:11" ht="121.5" customHeight="1" x14ac:dyDescent="0.3">
      <c r="B14" s="19" t="s">
        <v>55</v>
      </c>
      <c r="C14" s="464" t="s">
        <v>129</v>
      </c>
      <c r="D14" s="464"/>
      <c r="E14" s="464"/>
      <c r="F14" s="464"/>
      <c r="G14" s="464"/>
      <c r="H14" s="464"/>
      <c r="I14" s="465"/>
      <c r="J14" s="12"/>
      <c r="K14" s="472"/>
    </row>
    <row r="15" spans="2:11" ht="67" customHeight="1" thickBot="1" x14ac:dyDescent="0.35">
      <c r="B15" s="20" t="s">
        <v>123</v>
      </c>
      <c r="C15" s="466" t="s">
        <v>185</v>
      </c>
      <c r="D15" s="466"/>
      <c r="E15" s="466"/>
      <c r="F15" s="466"/>
      <c r="G15" s="466"/>
      <c r="H15" s="466"/>
      <c r="I15" s="467"/>
      <c r="J15" s="12"/>
      <c r="K15" s="473"/>
    </row>
    <row r="16" spans="2:11" ht="14.15" customHeight="1" x14ac:dyDescent="0.3"/>
    <row r="17" spans="3:3" ht="14.15" customHeight="1" x14ac:dyDescent="0.3"/>
    <row r="18" spans="3:3" ht="14.15" customHeight="1" x14ac:dyDescent="0.3"/>
    <row r="19" spans="3:3" ht="14.15" customHeight="1" x14ac:dyDescent="0.3">
      <c r="C19" s="17"/>
    </row>
    <row r="20" spans="3:3" ht="14.15" customHeight="1" x14ac:dyDescent="0.3"/>
    <row r="21" spans="3:3" ht="14.15" customHeight="1" x14ac:dyDescent="0.3"/>
    <row r="22" spans="3:3" ht="14.15" customHeight="1" x14ac:dyDescent="0.3"/>
    <row r="23" spans="3:3" ht="14.15" customHeight="1" x14ac:dyDescent="0.3"/>
    <row r="24" spans="3:3" ht="14.15" customHeight="1" x14ac:dyDescent="0.3"/>
    <row r="25" spans="3:3" ht="14.15" customHeight="1" x14ac:dyDescent="0.3"/>
    <row r="26" spans="3:3" ht="14.15" customHeight="1" x14ac:dyDescent="0.3"/>
    <row r="27" spans="3:3" ht="14.15" customHeight="1" x14ac:dyDescent="0.3"/>
    <row r="28" spans="3:3" ht="14.15" customHeight="1" x14ac:dyDescent="0.3"/>
    <row r="29" spans="3:3" ht="14.15" customHeight="1" x14ac:dyDescent="0.3"/>
    <row r="30" spans="3:3" ht="14.15" customHeight="1" x14ac:dyDescent="0.3"/>
    <row r="31" spans="3:3" ht="14.15" customHeight="1" x14ac:dyDescent="0.3"/>
    <row r="32" spans="3:3" ht="14.15" customHeight="1" x14ac:dyDescent="0.3"/>
    <row r="33" ht="14.15" customHeight="1" x14ac:dyDescent="0.3"/>
  </sheetData>
  <sheetProtection algorithmName="SHA-512" hashValue="cQ5qq2UEn6YtH79hW/yObU1HBj1JauHBr25FG79uCpQWV/incLWvrcbPmxF0f8N/Yr1abwicSy5zLzwLw7M5xA==" saltValue="7u+2vrtEjXBqV7sM9u5M8g==" spinCount="100000" sheet="1" selectLockedCells="1"/>
  <protectedRanges>
    <protectedRange password="CAA2" sqref="C8:C9" name="Summe"/>
  </protectedRanges>
  <customSheetViews>
    <customSheetView guid="{168849A9-FED9-4458-942F-290616B3A25C}" scale="70" showPageBreaks="1" showGridLines="0" fitToPage="1" printArea="1">
      <selection activeCell="J7" sqref="J7:J15"/>
      <pageMargins left="0.70866141732283472" right="0.70866141732283472" top="1.1811023622047245" bottom="0.78740157480314965" header="0.31496062992125984" footer="0.31496062992125984"/>
      <pageSetup paperSize="8" scale="83" fitToHeight="0" orientation="landscape" cellComments="atEnd" r:id="rId1"/>
      <headerFooter>
        <oddHeader>&amp;LKennzahlenraster KIP / IAS&amp;R&amp;G</oddHeader>
        <oddFooter>&amp;L&amp;A: Alphabetisierung&amp;R&amp;P</oddFooter>
      </headerFooter>
    </customSheetView>
  </customSheetViews>
  <mergeCells count="9">
    <mergeCell ref="B1:I1"/>
    <mergeCell ref="C3:D3"/>
    <mergeCell ref="C4:D4"/>
    <mergeCell ref="B6:I6"/>
    <mergeCell ref="K7:K15"/>
    <mergeCell ref="B12:I12"/>
    <mergeCell ref="C13:I13"/>
    <mergeCell ref="C14:I14"/>
    <mergeCell ref="C15:I15"/>
  </mergeCells>
  <dataValidations count="3">
    <dataValidation type="whole" operator="greaterThanOrEqual" allowBlank="1" showErrorMessage="1" errorTitle="Fehler" error="Solo i numeri interi e positivi sono validi (0, 200, etc.). " promptTitle="Ganze Zahlen" prompt="Nur ganzzahlige Werte (0, 1, 200 etc.)" sqref="D8:I8" xr:uid="{00000000-0002-0000-0700-000000000000}">
      <formula1>0</formula1>
    </dataValidation>
    <dataValidation type="date" allowBlank="1" showInputMessage="1" showErrorMessage="1" errorTitle="Data del rilevamento" error="Si prega di compilare" promptTitle="Data del rilevamento" prompt="Si prega di compilare" sqref="C4:D4" xr:uid="{00000000-0002-0000-0700-000001000000}">
      <formula1>44927</formula1>
      <formula2>45291</formula2>
    </dataValidation>
    <dataValidation allowBlank="1" sqref="C9:I9" xr:uid="{00000000-0002-0000-0700-000002000000}"/>
  </dataValidations>
  <pageMargins left="0.70866141732283472" right="0.70866141732283472" top="1.1811023622047245" bottom="0.78740157480314965" header="0.31496062992125984" footer="0.31496062992125984"/>
  <pageSetup paperSize="8" scale="87" fitToHeight="0" orientation="landscape" cellComments="atEnd" r:id="rId2"/>
  <headerFooter>
    <oddFooter>&amp;L&amp;A: Alphabetisierung&amp;R&amp;P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Tabelle9">
    <tabColor theme="3" tint="0.59999389629810485"/>
    <pageSetUpPr fitToPage="1"/>
  </sheetPr>
  <dimension ref="B1:L39"/>
  <sheetViews>
    <sheetView showGridLines="0" zoomScale="75" zoomScaleNormal="75" workbookViewId="0">
      <selection activeCell="E8" sqref="E8"/>
    </sheetView>
  </sheetViews>
  <sheetFormatPr baseColWidth="10" defaultColWidth="11" defaultRowHeight="14" x14ac:dyDescent="0.3"/>
  <cols>
    <col min="1" max="1" width="2.08203125" style="13" customWidth="1"/>
    <col min="2" max="2" width="37.33203125" style="13" customWidth="1"/>
    <col min="3" max="3" width="12.08203125" style="13" customWidth="1"/>
    <col min="4" max="10" width="15.83203125" style="13" customWidth="1"/>
    <col min="11" max="11" width="2.58203125" style="13" customWidth="1"/>
    <col min="12" max="12" width="63.58203125" style="13" customWidth="1"/>
    <col min="13" max="13" width="2.08203125" style="13" customWidth="1"/>
    <col min="14" max="16384" width="11" style="13"/>
  </cols>
  <sheetData>
    <row r="1" spans="2:12" s="1" customFormat="1" ht="28" x14ac:dyDescent="0.6">
      <c r="B1" s="450" t="s">
        <v>130</v>
      </c>
      <c r="C1" s="450"/>
      <c r="D1" s="450"/>
      <c r="E1" s="450"/>
      <c r="F1" s="450"/>
      <c r="G1" s="450"/>
      <c r="H1" s="450"/>
      <c r="I1" s="450"/>
      <c r="J1" s="450"/>
    </row>
    <row r="2" spans="2:12" s="1" customFormat="1" x14ac:dyDescent="0.3">
      <c r="B2" s="16"/>
      <c r="C2" s="16"/>
      <c r="D2" s="16"/>
      <c r="E2" s="16"/>
      <c r="F2" s="16"/>
      <c r="G2" s="16"/>
    </row>
    <row r="3" spans="2:12" s="1" customFormat="1" ht="28.5" customHeight="1" x14ac:dyDescent="0.3">
      <c r="B3" s="316" t="s">
        <v>42</v>
      </c>
      <c r="C3" s="452" t="str">
        <f>Indice!D4</f>
        <v>CH</v>
      </c>
      <c r="D3" s="452"/>
      <c r="E3" s="93"/>
    </row>
    <row r="4" spans="2:12" s="1" customFormat="1" ht="28.5" customHeight="1" x14ac:dyDescent="0.3">
      <c r="B4" s="316" t="s">
        <v>51</v>
      </c>
      <c r="C4" s="451"/>
      <c r="D4" s="451"/>
      <c r="E4" s="93"/>
      <c r="H4" s="94"/>
    </row>
    <row r="5" spans="2:12" ht="14.15" customHeight="1" thickBot="1" x14ac:dyDescent="0.35"/>
    <row r="6" spans="2:12" ht="45" customHeight="1" thickBot="1" x14ac:dyDescent="0.35">
      <c r="B6" s="453"/>
      <c r="C6" s="454"/>
      <c r="D6" s="454"/>
      <c r="E6" s="454"/>
      <c r="F6" s="454"/>
      <c r="G6" s="454"/>
      <c r="H6" s="454"/>
      <c r="I6" s="454"/>
      <c r="J6" s="455"/>
      <c r="L6" s="67" t="s">
        <v>57</v>
      </c>
    </row>
    <row r="7" spans="2:12" s="16" customFormat="1" ht="45" customHeight="1" thickBot="1" x14ac:dyDescent="0.35">
      <c r="B7" s="160" t="s">
        <v>117</v>
      </c>
      <c r="C7" s="155"/>
      <c r="D7" s="156" t="s">
        <v>56</v>
      </c>
      <c r="E7" s="157" t="s">
        <v>68</v>
      </c>
      <c r="F7" s="157" t="s">
        <v>118</v>
      </c>
      <c r="G7" s="157" t="s">
        <v>181</v>
      </c>
      <c r="H7" s="157" t="s">
        <v>70</v>
      </c>
      <c r="I7" s="158" t="s">
        <v>119</v>
      </c>
      <c r="J7" s="153" t="s">
        <v>120</v>
      </c>
      <c r="K7" s="122"/>
      <c r="L7" s="471"/>
    </row>
    <row r="8" spans="2:12" ht="60" customHeight="1" x14ac:dyDescent="0.3">
      <c r="B8" s="477" t="s">
        <v>92</v>
      </c>
      <c r="C8" s="22" t="s">
        <v>93</v>
      </c>
      <c r="D8" s="101">
        <f>SUM(E8:F8, H8)</f>
        <v>0</v>
      </c>
      <c r="E8" s="97"/>
      <c r="F8" s="98"/>
      <c r="G8" s="98"/>
      <c r="H8" s="98"/>
      <c r="I8" s="120"/>
      <c r="J8" s="99"/>
      <c r="L8" s="472"/>
    </row>
    <row r="9" spans="2:12" ht="60" customHeight="1" thickBot="1" x14ac:dyDescent="0.35">
      <c r="B9" s="478"/>
      <c r="C9" s="309" t="s">
        <v>94</v>
      </c>
      <c r="D9" s="171">
        <f>SUM(E9:F9, H9)</f>
        <v>0</v>
      </c>
      <c r="E9" s="107"/>
      <c r="F9" s="108"/>
      <c r="G9" s="108"/>
      <c r="H9" s="108"/>
      <c r="I9" s="108"/>
      <c r="J9" s="109"/>
      <c r="L9" s="472"/>
    </row>
    <row r="10" spans="2:12" ht="60" customHeight="1" thickBot="1" x14ac:dyDescent="0.35">
      <c r="B10" s="21"/>
      <c r="C10" s="317" t="s">
        <v>0</v>
      </c>
      <c r="D10" s="100">
        <f>SUM(E10:F10, H10)</f>
        <v>0</v>
      </c>
      <c r="E10" s="172">
        <f t="shared" ref="E10:J10" si="0">SUM(E8:E9)</f>
        <v>0</v>
      </c>
      <c r="F10" s="112">
        <f t="shared" si="0"/>
        <v>0</v>
      </c>
      <c r="G10" s="112">
        <f t="shared" si="0"/>
        <v>0</v>
      </c>
      <c r="H10" s="112">
        <f t="shared" si="0"/>
        <v>0</v>
      </c>
      <c r="I10" s="112">
        <f t="shared" si="0"/>
        <v>0</v>
      </c>
      <c r="J10" s="113">
        <f t="shared" si="0"/>
        <v>0</v>
      </c>
      <c r="L10" s="472"/>
    </row>
    <row r="11" spans="2:12" ht="43.5" customHeight="1" thickBot="1" x14ac:dyDescent="0.35">
      <c r="B11" s="262" t="s">
        <v>222</v>
      </c>
      <c r="C11" s="255"/>
      <c r="D11" s="266">
        <f>SUM(E11:F11, H11)</f>
        <v>4906</v>
      </c>
      <c r="E11" s="263">
        <f>VLOOKUP($C$3,bestand_ias,3,FALSE)</f>
        <v>2346</v>
      </c>
      <c r="F11" s="260">
        <f>VLOOKUP($C$3,bestand_ias,4,FALSE)</f>
        <v>2560</v>
      </c>
      <c r="G11" s="260">
        <f>VLOOKUP($C$3,bestand_ias,5,FALSE)</f>
        <v>44464</v>
      </c>
      <c r="H11" s="260" t="s">
        <v>33</v>
      </c>
      <c r="I11" s="260">
        <f>VLOOKUP($C$3,bestand_ias,6,FALSE)</f>
        <v>1594</v>
      </c>
      <c r="J11" s="261">
        <f>VLOOKUP($C$3,bestand_ias,7,FALSE)</f>
        <v>3312</v>
      </c>
      <c r="L11" s="472"/>
    </row>
    <row r="12" spans="2:12" ht="14.15" customHeight="1" x14ac:dyDescent="0.3">
      <c r="B12" s="352" t="s">
        <v>223</v>
      </c>
      <c r="L12" s="472"/>
    </row>
    <row r="13" spans="2:12" ht="14.15" customHeight="1" thickBot="1" x14ac:dyDescent="0.35">
      <c r="L13" s="472"/>
    </row>
    <row r="14" spans="2:12" ht="45" customHeight="1" thickBot="1" x14ac:dyDescent="0.35">
      <c r="B14" s="459" t="s">
        <v>121</v>
      </c>
      <c r="C14" s="460"/>
      <c r="D14" s="460"/>
      <c r="E14" s="460"/>
      <c r="F14" s="460"/>
      <c r="G14" s="460"/>
      <c r="H14" s="460"/>
      <c r="I14" s="460"/>
      <c r="J14" s="461"/>
      <c r="K14" s="14"/>
      <c r="L14" s="472"/>
    </row>
    <row r="15" spans="2:12" ht="51" customHeight="1" x14ac:dyDescent="0.3">
      <c r="B15" s="18" t="s">
        <v>122</v>
      </c>
      <c r="C15" s="479" t="s">
        <v>188</v>
      </c>
      <c r="D15" s="488"/>
      <c r="E15" s="488"/>
      <c r="F15" s="488"/>
      <c r="G15" s="488"/>
      <c r="H15" s="488"/>
      <c r="I15" s="488"/>
      <c r="J15" s="489"/>
      <c r="K15" s="12"/>
      <c r="L15" s="472"/>
    </row>
    <row r="16" spans="2:12" ht="125.5" customHeight="1" x14ac:dyDescent="0.3">
      <c r="B16" s="19" t="s">
        <v>55</v>
      </c>
      <c r="C16" s="482" t="s">
        <v>131</v>
      </c>
      <c r="D16" s="490"/>
      <c r="E16" s="490"/>
      <c r="F16" s="490"/>
      <c r="G16" s="490"/>
      <c r="H16" s="490"/>
      <c r="I16" s="490"/>
      <c r="J16" s="491"/>
      <c r="K16" s="12"/>
      <c r="L16" s="472"/>
    </row>
    <row r="17" spans="2:12" ht="64" customHeight="1" thickBot="1" x14ac:dyDescent="0.35">
      <c r="B17" s="20" t="s">
        <v>123</v>
      </c>
      <c r="C17" s="474" t="s">
        <v>185</v>
      </c>
      <c r="D17" s="475"/>
      <c r="E17" s="475"/>
      <c r="F17" s="475"/>
      <c r="G17" s="475"/>
      <c r="H17" s="475"/>
      <c r="I17" s="475"/>
      <c r="J17" s="476"/>
      <c r="K17" s="12"/>
      <c r="L17" s="473"/>
    </row>
    <row r="18" spans="2:12" ht="14.15" customHeight="1" x14ac:dyDescent="0.3"/>
    <row r="19" spans="2:12" ht="14.15" customHeight="1" x14ac:dyDescent="0.3"/>
    <row r="20" spans="2:12" ht="14.15" customHeight="1" x14ac:dyDescent="0.3"/>
    <row r="21" spans="2:12" ht="14.15" customHeight="1" x14ac:dyDescent="0.3">
      <c r="D21" s="17"/>
    </row>
    <row r="22" spans="2:12" ht="14.15" customHeight="1" x14ac:dyDescent="0.3"/>
    <row r="23" spans="2:12" ht="14.15" customHeight="1" x14ac:dyDescent="0.3"/>
    <row r="24" spans="2:12" ht="14.15" customHeight="1" x14ac:dyDescent="0.3"/>
    <row r="25" spans="2:12" ht="14.15" customHeight="1" x14ac:dyDescent="0.3"/>
    <row r="26" spans="2:12" ht="14.15" customHeight="1" x14ac:dyDescent="0.3"/>
    <row r="27" spans="2:12" ht="14.15" customHeight="1" x14ac:dyDescent="0.3"/>
    <row r="28" spans="2:12" ht="14.15" customHeight="1" x14ac:dyDescent="0.3"/>
    <row r="29" spans="2:12" ht="14.15" customHeight="1" x14ac:dyDescent="0.3"/>
    <row r="30" spans="2:12" ht="14.15" customHeight="1" x14ac:dyDescent="0.3"/>
    <row r="31" spans="2:12" ht="14.15" customHeight="1" x14ac:dyDescent="0.3"/>
    <row r="32" spans="2:12" ht="14.15" customHeight="1" x14ac:dyDescent="0.3"/>
    <row r="33" ht="14.15" customHeight="1" x14ac:dyDescent="0.3"/>
    <row r="34" ht="14.15" customHeight="1" x14ac:dyDescent="0.3"/>
    <row r="35" ht="14.15" customHeight="1" x14ac:dyDescent="0.3"/>
    <row r="36" ht="14.15" customHeight="1" x14ac:dyDescent="0.3"/>
    <row r="37" ht="14.15" customHeight="1" x14ac:dyDescent="0.3"/>
    <row r="38" ht="14.15" customHeight="1" x14ac:dyDescent="0.3"/>
    <row r="39" ht="14.15" customHeight="1" x14ac:dyDescent="0.3"/>
  </sheetData>
  <sheetProtection algorithmName="SHA-512" hashValue="M9jNG2AZf8CjiB9zYebyN2MM62CCmQHwQedkQJudD6mBd808TGSB3ldSwBNQmg+Q2/Dv//3tsNEGAF1XMyGDjg==" saltValue="17aNN9A91iaNGbxR26iv1w==" spinCount="100000" sheet="1" selectLockedCells="1"/>
  <protectedRanges>
    <protectedRange password="CAA2" sqref="D8:D11" name="Summe"/>
  </protectedRanges>
  <customSheetViews>
    <customSheetView guid="{168849A9-FED9-4458-942F-290616B3A25C}" scale="85" showPageBreaks="1" showGridLines="0" fitToPage="1" printArea="1" topLeftCell="A13">
      <selection activeCell="C15" sqref="C15:I15"/>
      <pageMargins left="0.70866141732283472" right="0.70866141732283472" top="1.1811023622047245" bottom="0.78740157480314965" header="0.31496062992125984" footer="0.31496062992125984"/>
      <pageSetup paperSize="8" scale="83" fitToHeight="0" orientation="landscape" cellComments="atEnd" r:id="rId1"/>
      <headerFooter>
        <oddHeader>&amp;LKennzahlenraster KIP / IAS&amp;R&amp;G</oddHeader>
        <oddFooter>&amp;L&amp;A: Potenzial&amp;R&amp;P</oddFooter>
      </headerFooter>
    </customSheetView>
  </customSheetViews>
  <mergeCells count="10">
    <mergeCell ref="C3:D3"/>
    <mergeCell ref="C4:D4"/>
    <mergeCell ref="C15:J15"/>
    <mergeCell ref="C16:J16"/>
    <mergeCell ref="B1:J1"/>
    <mergeCell ref="C17:J17"/>
    <mergeCell ref="B8:B9"/>
    <mergeCell ref="B6:J6"/>
    <mergeCell ref="L7:L17"/>
    <mergeCell ref="B14:J14"/>
  </mergeCells>
  <dataValidations count="4">
    <dataValidation type="whole" operator="greaterThanOrEqual" allowBlank="1" showErrorMessage="1" errorTitle="Fehler" error="Gültig sind nur positive, ganze Zahlen (0, 200, etc.). Kein Text" promptTitle="Ganze Zahlen" prompt="Nur ganzzahlige Werte (0, 1, 200 etc.)" sqref="E10:J10" xr:uid="{00000000-0002-0000-0800-000000000000}">
      <formula1>0</formula1>
    </dataValidation>
    <dataValidation type="date" allowBlank="1" showInputMessage="1" showErrorMessage="1" errorTitle="Data del rilevamento" error="Si prega di compilare" promptTitle="Data del rilevamento" prompt="Si prega di compilare" sqref="C4:D4" xr:uid="{00000000-0002-0000-0800-000001000000}">
      <formula1>44927</formula1>
      <formula2>45291</formula2>
    </dataValidation>
    <dataValidation allowBlank="1" sqref="D11:J11" xr:uid="{00000000-0002-0000-0800-000002000000}"/>
    <dataValidation type="whole" operator="greaterThanOrEqual" allowBlank="1" showErrorMessage="1" errorTitle="Fehler" error="Solo i numeri interi e positivi sono validi (0, 200, etc.). " promptTitle="Ganze Zahlen" prompt="Nur ganzzahlige Werte (0, 1, 200 etc.)" sqref="E8:J9" xr:uid="{00000000-0002-0000-0800-000003000000}">
      <formula1>0</formula1>
    </dataValidation>
  </dataValidations>
  <pageMargins left="0.70866141732283472" right="0.70866141732283472" top="1.1811023622047245" bottom="0.78740157480314965" header="0.31496062992125984" footer="0.31496062992125984"/>
  <pageSetup paperSize="8" scale="83" fitToHeight="0" orientation="landscape" cellComments="atEnd" r:id="rId2"/>
  <headerFooter>
    <oddFooter>&amp;L&amp;A: Potenzial&amp;R&amp;P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f:fields xmlns:f="http://schemas.fabasoft.com/folio/2007/fields">
  <f:record ref="">
    <f:field ref="objname" par="" edit="true" text="Raster Kennzahlen IAS V2"/>
    <f:field ref="objsubject" par="" edit="true" text=""/>
    <f:field ref="objcreatedby" par="" text="Steiger, Sebastian, sem-Stsb"/>
    <f:field ref="objcreatedat" par="" text="27.03.2019 11:42:10"/>
    <f:field ref="objchangedby" par="" text="Steiger, Sebastian, sem-Stsb"/>
    <f:field ref="objmodifiedat" par="" text="24.05.2019 15:22:59"/>
    <f:field ref="doc_FSCFOLIO_1_1001_FieldDocumentNumber" par="" text=""/>
    <f:field ref="doc_FSCFOLIO_1_1001_FieldSubject" par="" edit="true" text=""/>
    <f:field ref="FSCFOLIO_1_1001_FieldCurrentUser" par="" text="Tsewang Tsering"/>
    <f:field ref="CCAPRECONFIG_15_1001_Objektname" par="" edit="true" text="Raster Kennzahlen IAS V2"/>
    <f:field ref="CHPRECONFIG_1_1001_Objektname" par="" edit="true" text="Raster Kennzahlen IAS V2"/>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Serialcontext &gt; Adressat/innen">
    <f:field ref="CHPRECONFIG_1_1001_Anrede" text="Anrede"/>
    <f:field ref="CHPRECONFIG_1_1001_EMailAdresse" text="E-Mail Adresse"/>
    <f:field ref="CHPRECONFIG_1_1001_Nachname" text="Nachname"/>
    <f:field ref="CHPRECONFIG_1_1001_Ort" text="Ort"/>
    <f:field ref="CHPRECONFIG_1_1001_Postleitzahl" text="Postleitzahl"/>
    <f:field ref="CHPRECONFIG_1_1001_Strasse" text="Strasse"/>
    <f:field ref="CHPRECONFIG_1_1001_Titel" text="Titel"/>
    <f:field ref="CHPRECONFIG_1_1001_Vorname" text="Vorname"/>
  </f:display>
  <f:display par="" text="Serienbrief">
    <f:field ref="doc_FSCFOLIO_1_1001_FieldSubject" text="Betreff"/>
    <f:field ref="doc_FSCFOLIO_1_1001_FieldDocumentNumber" text="Dokument Nummer"/>
  </f:display>
</f:fields>
</file>

<file path=customXml/item2.xml>��< ? x m l   v e r s i o n = " 1 . 0 "   e n c o d i n g = " u t f - 1 6 " ? > < D a t a M a s h u p   x m l n s = " h t t p : / / s c h e m a s . m i c r o s o f t . c o m / D a t a M a s h u p " > A A A A A P w D A A B Q S w M E F A A C A A g A c 1 A v U u Y h O u W o A A A A + A A A A B I A H A B D b 2 5 m a W c v U G F j a 2 F n Z S 5 4 b W w g o h g A K K A U A A A A A A A A A A A A A A A A A A A A A A A A A A A A h Y 9 N D o I w G E S v Q r q n f y p R 8 1 E W b F x I Y m J i 3 D Z Q o R G K o c V y N x c e y S t I o q g 7 l z N 5 k 7 x 5 3 O 6 Q D E 0 d X F V n d W t i x D B F g T J 5 W 2 h T x q h 3 p 3 C J E g E 7 m Z 9 l q Y I R N n Y 9 W B 2 j y r n L m h D v P f Y z 3 H Y l 4 Z Q y c s y 2 + 7 x S j Q y 1 s U 6 a X K H P q v i / Q g I O L x n B c c T w g q 0 4 n k c M y F R D p s 0 X 4 a M x p k B + S k j 7 2 v W d E o U K 0 w 2 Q K Q J 5 v x B P U E s D B B Q A A g A I A H N Q L 1 I 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z U C 9 S 2 X v I Q f I A A A C v A Q A A E w A c A E Z v c m 1 1 b G F z L 1 N l Y 3 R p b 2 4 x L m 0 g o h g A K K A U A A A A A A A A A A A A A A A A A A A A A A A A A A A A h Z B B a s N A D E X 3 B t 9 B T D c 2 m I A X X Q U v i i k N F E K K D V 0 Y L y a O 0 o S M Z 4 J G A y n G t + k Z e o F c r G O m t N B i o o 1 A + r z / J Y s d H 4 2 G K v R 8 G U d x Z A + S c A f P U r P R C A U o 5 D g C X y 8 O l Z o m j 5 c O 1 a J 0 R K j 5 1 d B p a 8 w p S Y d m L X s s R C 2 3 k / B e t G N T G s 1 e 1 G Y B c S e e 8 P q h d 0 i M B P X 7 W X i c 1 y t c 1 C S 1 3 R v q S 6 N c r / 0 O b R I s s 2 E Q 1 V k q x l x k w H 4 D j B c e x / Q H u 7 p + H j z x D S 2 7 P S O s U H q T X / q G T G 8 Y w 9 g m / 3 N k 0 H x r H p S q O q k k 2 Y L J Y Z v O Z c 9 v h J 9 N N d 0 T / v v n n D g 6 6 l m z 5 R d Q S w E C L Q A U A A I A C A B z U C 9 S 5 i E 6 5 a g A A A D 4 A A A A E g A A A A A A A A A A A A A A A A A A A A A A Q 2 9 u Z m l n L 1 B h Y 2 t h Z 2 U u e G 1 s U E s B A i 0 A F A A C A A g A c 1 A v U g / K 6 a u k A A A A 6 Q A A A B M A A A A A A A A A A A A A A A A A 9 A A A A F t D b 2 5 0 Z W 5 0 X 1 R 5 c G V z X S 5 4 b W x Q S w E C L Q A U A A I A C A B z U C 9 S 2 X v I Q f I A A A C v A Q A A E w A A A A A A A A A A A A A A A A D l A Q A A R m 9 y b X V s Y X M v U 2 V j d G l v b j E u b V B L B Q Y A A A A A A w A D A M I A A A A k 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7 1 C A A A A A A A A N M I 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S 2 F u d G 9 u Z 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S I g L z 4 8 R W 5 0 c n k g V H l w Z T 0 i T m F t Z V V w Z G F 0 Z W R B Z n R l c k Z p b G w i I F Z h b H V l P S J s M C I g L z 4 8 R W 5 0 c n k g V H l w Z T 0 i U m V z d W x 0 V H l w Z S I g V m F s d W U 9 I n N U Y W J s Z S I g L z 4 8 R W 5 0 c n k g V H l w Z T 0 i Q n V m Z m V y T m V 4 d F J l Z n J l c 2 g i I F Z h b H V l P S J s M S I g L z 4 8 R W 5 0 c n k g V H l w Z T 0 i R m l s b G V k Q 2 9 t c G x l d G V S Z X N 1 b H R U b 1 d v c m t z a G V l d C I g V m F s d W U 9 I m w w I i A v P j x F b n R y e S B U e X B l P S J B Z G R l Z F R v R G F 0 Y U 1 v Z G V s I i B W Y W x 1 Z T 0 i b D E i I C 8 + P E V u d H J 5 I F R 5 c G U 9 I k Z p b G x D b 3 V u d C I g V m F s d W U 9 I m w y N i I g L z 4 8 R W 5 0 c n k g V H l w Z T 0 i R m l s b E V y c m 9 y Q 2 9 k Z S I g V m F s d W U 9 I n N V b m t u b 3 d u I i A v P j x F b n R y e S B U e X B l P S J G a W x s R X J y b 3 J D b 3 V u d C I g V m F s d W U 9 I m w w I i A v P j x F b n R y e S B U e X B l P S J G a W x s T G F z d F V w Z G F 0 Z W Q i I F Z h b H V l P S J k M j A y M S 0 w M S 0 x N V Q w O T o w M z o w N i 4 z N T U z N T E 1 W i I g L z 4 8 R W 5 0 c n k g V H l w Z T 0 i R m l s b E N v b H V t b l R 5 c G V z I i B W Y W x 1 Z T 0 i c 0 J n P T 0 i I C 8 + P E V u d H J 5 I F R 5 c G U 9 I k Z p b G x D b 2 x 1 b W 5 O Y W 1 l c y I g V m F s d W U 9 I n N b J n F 1 b 3 Q 7 S 2 F u d G 9 u 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F u d G 9 u Z S 9 H Z c O k b m R l c n R l c i B U e X A x L n t L Y W 5 0 b 2 4 s M H 0 m c X V v d D t d L C Z x d W 9 0 O 0 N v b H V t b k N v d W 5 0 J n F 1 b 3 Q 7 O j E s J n F 1 b 3 Q 7 S 2 V 5 Q 2 9 s d W 1 u T m F t Z X M m c X V v d D s 6 W 1 0 s J n F 1 b 3 Q 7 Q 2 9 s d W 1 u S W R l b n R p d G l l c y Z x d W 9 0 O z p b J n F 1 b 3 Q 7 U 2 V j d G l v b j E v S 2 F u d G 9 u Z S 9 H Z c O k b m R l c n R l c i B U e X A x L n t L Y W 5 0 b 2 4 s M H 0 m c X V v d D t d L C Z x d W 9 0 O 1 J l b G F 0 a W 9 u c 2 h p c E l u Z m 8 m c X V v d D s 6 W 1 1 9 I i A v P j w v U 3 R h Y m x l R W 5 0 c m l l c z 4 8 L 0 l 0 Z W 0 + P E l 0 Z W 0 + P E l 0 Z W 1 M b 2 N h d G l v b j 4 8 S X R l b V R 5 c G U + R m 9 y b X V s Y T w v S X R l b V R 5 c G U + P E l 0 Z W 1 Q Y X R o P l N l Y 3 R p b 2 4 x L 0 t h b n R v b m U v U X V l b G x l P C 9 J d G V t U G F 0 a D 4 8 L 0 l 0 Z W 1 M b 2 N h d G l v b j 4 8 U 3 R h Y m x l R W 5 0 c m l l c y A v P j w v S X R l b T 4 8 S X R l b T 4 8 S X R l b U x v Y 2 F 0 a W 9 u P j x J d G V t V H l w Z T 5 G b 3 J t d W x h P C 9 J d G V t V H l w Z T 4 8 S X R l b V B h d G g + U 2 V j d G l v b j E v S 2 F u d G 9 u Z S 9 H Z S V D M y V B N G 5 k Z X J 0 Z X I l M j B U e X A 8 L 0 l 0 Z W 1 Q Y X R o P j w v S X R l b U x v Y 2 F 0 a W 9 u P j x T d G F i b G V F b n R y a W V z I C 8 + P C 9 J d G V t P j x J d G V t P j x J d G V t T G 9 j Y X R p b 2 4 + P E l 0 Z W 1 U e X B l P k Z v c m 1 1 b G E 8 L 0 l 0 Z W 1 U e X B l P j x J d G V t U G F 0 a D 5 T Z W N 0 a W 9 u M S 9 L Y W 5 0 b 2 5 l L 0 g l Q z M l Q j Z o Z X I l M j B n Z X N 0 d W Z 0 Z S U y M E h l Y W R l c j w v S X R l b V B h d G g + P C 9 J d G V t T G 9 j Y X R p b 2 4 + P F N 0 Y W J s Z U V u d H J p Z X M g L z 4 8 L 0 l 0 Z W 0 + P E l 0 Z W 0 + P E l 0 Z W 1 M b 2 N h d G l v b j 4 8 S X R l b V R 5 c G U + R m 9 y b X V s Y T w v S X R l b V R 5 c G U + P E l 0 Z W 1 Q Y X R o P l N l Y 3 R p b 2 4 x L 0 t h b n R v b m U v R 2 U l Q z M l Q T R u Z G V y d G V y J T I w V H l w M T w v S X R l b V B h d G g + P C 9 J d G V t T G 9 j Y X R p b 2 4 + P F N 0 Y W J s Z U V u d H J p Z X M g L z 4 8 L 0 l 0 Z W 0 + P C 9 J d G V t c z 4 8 L 0 x v Y 2 F s U G F j a 2 F n Z U 1 l d G F k Y X R h R m l s Z T 4 W A A A A U E s F B g A A A A A A A A A A A A A A A A A A A A A A A N o A A A A B A A A A 0 I y d 3 w E V 0 R G M e g D A T 8 K X 6 w E A A A A h R D p 5 8 G J E R K G J q 5 h Q Z u I w A A A A A A I A A A A A A A N m A A D A A A A A E A A A A L k 7 H s i r T A J x C S 0 m k B V a n Z Y A A A A A B I A A A K A A A A A Q A A A A S e 3 U Q 4 s O z B A P d B t 0 P y 8 x s l A A A A B + u X O Q 6 i 4 z u x O F I E m U I d 1 n T m M r D 4 o z H p 3 K w z S 2 q 8 t B O 1 / c Q j w J e P E T i e 6 G 9 r v e h V V l B O l l B U V N P E p r F H 9 5 d 9 h T 3 e o W W c N W O Y 0 p i 6 + C A 4 V Y H x Q A A A C 7 9 L 8 m W g b W q Q 5 H U Q 2 8 l Z c 4 G c t f F Q = = < / D a t a M a s h u p > 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721797EF-4BCC-4436-8531-014FB344910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18</vt:i4>
      </vt:variant>
    </vt:vector>
  </HeadingPairs>
  <TitlesOfParts>
    <vt:vector size="33" baseType="lpstr">
      <vt:lpstr>Indice</vt:lpstr>
      <vt:lpstr>Indicatori PIC</vt:lpstr>
      <vt:lpstr>Sintesi Indicatori AIS</vt:lpstr>
      <vt:lpstr>Ind AIS N°1</vt:lpstr>
      <vt:lpstr>Ind AIS N°2</vt:lpstr>
      <vt:lpstr>Ind AIS N°3</vt:lpstr>
      <vt:lpstr>Ind AIS N°4</vt:lpstr>
      <vt:lpstr>Ind AIS N°5</vt:lpstr>
      <vt:lpstr>Ind AIS N°6</vt:lpstr>
      <vt:lpstr>Ind AIS N°7</vt:lpstr>
      <vt:lpstr>Ind AIS N°8</vt:lpstr>
      <vt:lpstr>Ind AIS N°9</vt:lpstr>
      <vt:lpstr>Ind AIS N°11a</vt:lpstr>
      <vt:lpstr>Ind AIS N°11b</vt:lpstr>
      <vt:lpstr>Ind AIS N°14</vt:lpstr>
      <vt:lpstr>bestand_alle</vt:lpstr>
      <vt:lpstr>bestand_ias</vt:lpstr>
      <vt:lpstr>'Ind AIS N°1'!Print_Area</vt:lpstr>
      <vt:lpstr>'Ind AIS N°11a'!Print_Area</vt:lpstr>
      <vt:lpstr>'Ind AIS N°11b'!Print_Area</vt:lpstr>
      <vt:lpstr>'Ind AIS N°2'!Print_Area</vt:lpstr>
      <vt:lpstr>'Ind AIS N°3'!Print_Area</vt:lpstr>
      <vt:lpstr>'Ind AIS N°4'!Print_Area</vt:lpstr>
      <vt:lpstr>'Ind AIS N°5'!Print_Area</vt:lpstr>
      <vt:lpstr>'Ind AIS N°6'!Print_Area</vt:lpstr>
      <vt:lpstr>'Ind AIS N°7'!Print_Area</vt:lpstr>
      <vt:lpstr>'Ind AIS N°8'!Print_Area</vt:lpstr>
      <vt:lpstr>'Ind AIS N°9'!Print_Area</vt:lpstr>
      <vt:lpstr>'Indicatori PIC'!Print_Area</vt:lpstr>
      <vt:lpstr>Indice!Print_Area</vt:lpstr>
      <vt:lpstr>'Pop_stat AIS Decisioni 1.5.19'!Print_Area</vt:lpstr>
      <vt:lpstr>'Pop_stat AIS Effettivo'!Print_Area</vt:lpstr>
      <vt:lpstr>'Sintesi Indicatori AIS'!Print_Area</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Raster Kennzahlen IAS</dc:title>
  <dc:creator>FBFIS</dc:creator>
  <cp:lastModifiedBy>Alexandra Perréard</cp:lastModifiedBy>
  <cp:lastPrinted>2021-03-04T09:42:05Z</cp:lastPrinted>
  <dcterms:created xsi:type="dcterms:W3CDTF">2019-03-08T14:44:51Z</dcterms:created>
  <dcterms:modified xsi:type="dcterms:W3CDTF">2023-05-17T08:55:07Z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JPDCFG@15.1700:Recipient">
    <vt:lpwstr/>
  </property>
  <property fmtid="{D5CDD505-2E9C-101B-9397-08002B2CF9AE}" pid="3" name="FSC#EJPDCFG@15.1700:RecipientSalutation">
    <vt:lpwstr/>
  </property>
  <property fmtid="{D5CDD505-2E9C-101B-9397-08002B2CF9AE}" pid="4" name="FSC#EJPDCFG@15.1700:RecipientTitle">
    <vt:lpwstr/>
  </property>
  <property fmtid="{D5CDD505-2E9C-101B-9397-08002B2CF9AE}" pid="5" name="FSC#EJPDCFG@15.1700:RecipientFirstname">
    <vt:lpwstr/>
  </property>
  <property fmtid="{D5CDD505-2E9C-101B-9397-08002B2CF9AE}" pid="6" name="FSC#EJPDCFG@15.1700:RecipientSurname">
    <vt:lpwstr/>
  </property>
  <property fmtid="{D5CDD505-2E9C-101B-9397-08002B2CF9AE}" pid="7" name="FSC#EJPDCFG@15.1700:RecipientStreet">
    <vt:lpwstr/>
  </property>
  <property fmtid="{D5CDD505-2E9C-101B-9397-08002B2CF9AE}" pid="8" name="FSC#EJPDCFG@15.1700:RecipientPOBox">
    <vt:lpwstr/>
  </property>
  <property fmtid="{D5CDD505-2E9C-101B-9397-08002B2CF9AE}" pid="9" name="FSC#EJPDCFG@15.1700:RecipientZIPCode">
    <vt:lpwstr/>
  </property>
  <property fmtid="{D5CDD505-2E9C-101B-9397-08002B2CF9AE}" pid="10" name="FSC#EJPDCFG@15.1700:RecipientCity">
    <vt:lpwstr/>
  </property>
  <property fmtid="{D5CDD505-2E9C-101B-9397-08002B2CF9AE}" pid="11" name="FSC#EJPDCFG@15.1700:Recipientcountry">
    <vt:lpwstr/>
  </property>
  <property fmtid="{D5CDD505-2E9C-101B-9397-08002B2CF9AE}" pid="12" name="FSC#EJPDCFG@15.1700:RecipientOrgname">
    <vt:lpwstr/>
  </property>
  <property fmtid="{D5CDD505-2E9C-101B-9397-08002B2CF9AE}" pid="13" name="FSC#EJPDCFG@15.1700:RecipientEMail">
    <vt:lpwstr/>
  </property>
  <property fmtid="{D5CDD505-2E9C-101B-9397-08002B2CF9AE}" pid="14" name="FSC#EJPDCFG@15.1700:RecipientContactSalutation">
    <vt:lpwstr/>
  </property>
  <property fmtid="{D5CDD505-2E9C-101B-9397-08002B2CF9AE}" pid="15" name="FSC#EJPDCFG@15.1700:RecipientContactFirstname">
    <vt:lpwstr/>
  </property>
  <property fmtid="{D5CDD505-2E9C-101B-9397-08002B2CF9AE}" pid="16" name="FSC#EJPDCFG@15.1700:RecipientContactSurname">
    <vt:lpwstr/>
  </property>
  <property fmtid="{D5CDD505-2E9C-101B-9397-08002B2CF9AE}" pid="17" name="FSC#EJPDCFG@15.1700:RecipientDate">
    <vt:lpwstr/>
  </property>
  <property fmtid="{D5CDD505-2E9C-101B-9397-08002B2CF9AE}" pid="18" name="FSC#EJPDCFG@15.1700:SubfileTitle">
    <vt:lpwstr>Kennzahlen IAS</vt:lpwstr>
  </property>
  <property fmtid="{D5CDD505-2E9C-101B-9397-08002B2CF9AE}" pid="19" name="FSC#EJPDCFG@15.1700:SubfileSubject">
    <vt:lpwstr>Kennzahlen IAS</vt:lpwstr>
  </property>
  <property fmtid="{D5CDD505-2E9C-101B-9397-08002B2CF9AE}" pid="20" name="FSC#EJPDCFG@15.1700:SubfileDossierRef">
    <vt:lpwstr>545-00/2018/00001</vt:lpwstr>
  </property>
  <property fmtid="{D5CDD505-2E9C-101B-9397-08002B2CF9AE}" pid="21" name="FSC#EJPDCFG@15.1700:SubfileResponsibleFirstname">
    <vt:lpwstr>Sebastian</vt:lpwstr>
  </property>
  <property fmtid="{D5CDD505-2E9C-101B-9397-08002B2CF9AE}" pid="22" name="FSC#EJPDCFG@15.1700:SubfileResponsibleSurname">
    <vt:lpwstr>Steiger</vt:lpwstr>
  </property>
  <property fmtid="{D5CDD505-2E9C-101B-9397-08002B2CF9AE}" pid="23" name="FSC#EJPDCFG@15.1700:SubfileResponsibleProfession">
    <vt:lpwstr/>
  </property>
  <property fmtid="{D5CDD505-2E9C-101B-9397-08002B2CF9AE}" pid="24" name="FSC#EJPDCFG@15.1700:SubfileResponsibleInitials">
    <vt:lpwstr>sem-Stsb</vt:lpwstr>
  </property>
  <property fmtid="{D5CDD505-2E9C-101B-9397-08002B2CF9AE}" pid="25" name="FSC#EJPDCFG@15.1700:AssignmentCommentHistory">
    <vt:lpwstr/>
  </property>
  <property fmtid="{D5CDD505-2E9C-101B-9397-08002B2CF9AE}" pid="26" name="FSC#EJPDCFG@15.1700:AssignmentDefaultComment">
    <vt:lpwstr/>
  </property>
  <property fmtid="{D5CDD505-2E9C-101B-9397-08002B2CF9AE}" pid="27" name="FSC#EJPDCFG@15.1700:AssignmentRemarks">
    <vt:lpwstr/>
  </property>
  <property fmtid="{D5CDD505-2E9C-101B-9397-08002B2CF9AE}" pid="28" name="FSC#EJPDCFG@15.1700:AssignmentExternalDate">
    <vt:lpwstr/>
  </property>
  <property fmtid="{D5CDD505-2E9C-101B-9397-08002B2CF9AE}" pid="29" name="FSC#EJPDCFG@15.1700:AssignmentProcessingDeadline">
    <vt:lpwstr/>
  </property>
  <property fmtid="{D5CDD505-2E9C-101B-9397-08002B2CF9AE}" pid="30" name="FSC#EJPDCFG@15.1700:AssignmentPlacingPosition">
    <vt:lpwstr/>
  </property>
  <property fmtid="{D5CDD505-2E9C-101B-9397-08002B2CF9AE}" pid="31" name="FSC#EJPDCFG@15.1700:AssignmentResponsible">
    <vt:lpwstr/>
  </property>
  <property fmtid="{D5CDD505-2E9C-101B-9397-08002B2CF9AE}" pid="32" name="FSC#EJPDCFG@15.1700:AssignmentUsers">
    <vt:lpwstr/>
  </property>
  <property fmtid="{D5CDD505-2E9C-101B-9397-08002B2CF9AE}" pid="33" name="FSC#EJPDCFG@15.1700:AssignmentUsersDone">
    <vt:lpwstr/>
  </property>
  <property fmtid="{D5CDD505-2E9C-101B-9397-08002B2CF9AE}" pid="34" name="FSC#EJPDCFG@15.1700:SubfileClassification">
    <vt:lpwstr>Nicht klassifiziert</vt:lpwstr>
  </property>
  <property fmtid="{D5CDD505-2E9C-101B-9397-08002B2CF9AE}" pid="35" name="FSC#EJPDCFG@15.1700:Department">
    <vt:lpwstr>Direktion</vt:lpwstr>
  </property>
  <property fmtid="{D5CDD505-2E9C-101B-9397-08002B2CF9AE}" pid="36" name="FSC#EJPDCFG@15.1700:DepartmentShort">
    <vt:lpwstr>DIR</vt:lpwstr>
  </property>
  <property fmtid="{D5CDD505-2E9C-101B-9397-08002B2CF9AE}" pid="37" name="FSC#EJPDCFG@15.1700:HierarchyFirstLevel">
    <vt:lpwstr>Direktion</vt:lpwstr>
  </property>
  <property fmtid="{D5CDD505-2E9C-101B-9397-08002B2CF9AE}" pid="38" name="FSC#EJPDCFG@15.1700:HierarchyFirstLevelShort">
    <vt:lpwstr>DIR</vt:lpwstr>
  </property>
  <property fmtid="{D5CDD505-2E9C-101B-9397-08002B2CF9AE}" pid="39" name="FSC#EJPDCFG@15.1700:HierarchySecondLevel">
    <vt:lpwstr>Direktionsbereich Zuwanderung und Integration</vt:lpwstr>
  </property>
  <property fmtid="{D5CDD505-2E9C-101B-9397-08002B2CF9AE}" pid="40" name="FSC#EJPDCFG@15.1700:HierarchyThirdLevel">
    <vt:lpwstr>Abteilung Integration</vt:lpwstr>
  </property>
  <property fmtid="{D5CDD505-2E9C-101B-9397-08002B2CF9AE}" pid="41" name="FSC#EJPDCFG@15.1700:HierarchyFourthLevel">
    <vt:lpwstr>Sektion Integrationsförderung</vt:lpwstr>
  </property>
  <property fmtid="{D5CDD505-2E9C-101B-9397-08002B2CF9AE}" pid="42" name="FSC#EJPDCFG@15.1700:HierarchyFifthLevel">
    <vt:lpwstr/>
  </property>
  <property fmtid="{D5CDD505-2E9C-101B-9397-08002B2CF9AE}" pid="43" name="FSC#EJPDCFG@15.1700:ObjaddressContentObject">
    <vt:lpwstr>COO.2180.101.5.519576</vt:lpwstr>
  </property>
  <property fmtid="{D5CDD505-2E9C-101B-9397-08002B2CF9AE}" pid="44" name="FSC#EJPDCFG@15.1700:SubfileResponsibleSalutation">
    <vt:lpwstr/>
  </property>
  <property fmtid="{D5CDD505-2E9C-101B-9397-08002B2CF9AE}" pid="45" name="FSC#EJPDCFG@15.1700:SubfileResponsibleTelOffice">
    <vt:lpwstr>+41 58 467 64 72</vt:lpwstr>
  </property>
  <property fmtid="{D5CDD505-2E9C-101B-9397-08002B2CF9AE}" pid="46" name="FSC#EJPDCFG@15.1700:SubfileResponsibleTelFax">
    <vt:lpwstr>+41 58 462 78 32</vt:lpwstr>
  </property>
  <property fmtid="{D5CDD505-2E9C-101B-9397-08002B2CF9AE}" pid="47" name="FSC#EJPDCFG@15.1700:SubfileResponsibleEmail">
    <vt:lpwstr>sebastian.steiger@sem.admin.ch</vt:lpwstr>
  </property>
  <property fmtid="{D5CDD505-2E9C-101B-9397-08002B2CF9AE}" pid="48" name="FSC#EJPDCFG@15.1700:SubfileResponsibleUrl">
    <vt:lpwstr>http://www.sem.admin.ch</vt:lpwstr>
  </property>
  <property fmtid="{D5CDD505-2E9C-101B-9397-08002B2CF9AE}" pid="49" name="FSC#EJPDCFG@15.1700:SubfileResponsibleAddress">
    <vt:lpwstr>Quellenweg 9, 3003 Bern-Wabern</vt:lpwstr>
  </property>
  <property fmtid="{D5CDD505-2E9C-101B-9397-08002B2CF9AE}" pid="50" name="FSC#EJPDCFG@15.1700:FileRefOU">
    <vt:lpwstr>Abteilung Integration</vt:lpwstr>
  </property>
  <property fmtid="{D5CDD505-2E9C-101B-9397-08002B2CF9AE}" pid="51" name="FSC#EJPDCFG@15.1700:OU">
    <vt:lpwstr>Abteilung Integration</vt:lpwstr>
  </property>
  <property fmtid="{D5CDD505-2E9C-101B-9397-08002B2CF9AE}" pid="52" name="FSC#EJPDCFG@15.1700:Department2">
    <vt:lpwstr>Sektion Integrationsförderung</vt:lpwstr>
  </property>
  <property fmtid="{D5CDD505-2E9C-101B-9397-08002B2CF9AE}" pid="53" name="FSC#EJPDIMPORT@100.2000:Recipient">
    <vt:lpwstr/>
  </property>
  <property fmtid="{D5CDD505-2E9C-101B-9397-08002B2CF9AE}" pid="54" name="FSC#EJPDIMPORT@100.2000:PersonnelBirthday">
    <vt:lpwstr/>
  </property>
  <property fmtid="{D5CDD505-2E9C-101B-9397-08002B2CF9AE}" pid="55" name="FSC#EJPDIMPORT@100.2000:PersonnelProfession">
    <vt:lpwstr/>
  </property>
  <property fmtid="{D5CDD505-2E9C-101B-9397-08002B2CF9AE}" pid="56" name="FSC#EJPDIMPORT@100.2000:PersonnelOrgAddress">
    <vt:lpwstr/>
  </property>
  <property fmtid="{D5CDD505-2E9C-101B-9397-08002B2CF9AE}" pid="57" name="FSC#EJPDIMPORT@100.2000:PersonnelOrgname">
    <vt:lpwstr/>
  </property>
  <property fmtid="{D5CDD505-2E9C-101B-9397-08002B2CF9AE}" pid="58" name="FSC#EJPDIMPORT@100.2000:PersonnelFirstname">
    <vt:lpwstr/>
  </property>
  <property fmtid="{D5CDD505-2E9C-101B-9397-08002B2CF9AE}" pid="59" name="FSC#EJPDIMPORT@100.2000:PersonnelSurname">
    <vt:lpwstr/>
  </property>
  <property fmtid="{D5CDD505-2E9C-101B-9397-08002B2CF9AE}" pid="60" name="FSC#EJPDIMPORT@100.2000:PersonnelAddress">
    <vt:lpwstr/>
  </property>
  <property fmtid="{D5CDD505-2E9C-101B-9397-08002B2CF9AE}" pid="61" name="FSC#COOELAK@1.1001:Subject">
    <vt:lpwstr/>
  </property>
  <property fmtid="{D5CDD505-2E9C-101B-9397-08002B2CF9AE}" pid="62" name="FSC#COOELAK@1.1001:FileReference">
    <vt:lpwstr>545-00/2018/05813</vt:lpwstr>
  </property>
  <property fmtid="{D5CDD505-2E9C-101B-9397-08002B2CF9AE}" pid="63" name="FSC#COOELAK@1.1001:FileRefYear">
    <vt:lpwstr>2018</vt:lpwstr>
  </property>
  <property fmtid="{D5CDD505-2E9C-101B-9397-08002B2CF9AE}" pid="64" name="FSC#COOELAK@1.1001:FileRefOrdinal">
    <vt:lpwstr>5813</vt:lpwstr>
  </property>
  <property fmtid="{D5CDD505-2E9C-101B-9397-08002B2CF9AE}" pid="65" name="FSC#COOELAK@1.1001:FileRefOU">
    <vt:lpwstr>AI</vt:lpwstr>
  </property>
  <property fmtid="{D5CDD505-2E9C-101B-9397-08002B2CF9AE}" pid="66" name="FSC#COOELAK@1.1001:Organization">
    <vt:lpwstr/>
  </property>
  <property fmtid="{D5CDD505-2E9C-101B-9397-08002B2CF9AE}" pid="67" name="FSC#COOELAK@1.1001:Owner">
    <vt:lpwstr>Steiger Sebastian</vt:lpwstr>
  </property>
  <property fmtid="{D5CDD505-2E9C-101B-9397-08002B2CF9AE}" pid="68" name="FSC#COOELAK@1.1001:OwnerExtension">
    <vt:lpwstr>+41 58 467 64 72</vt:lpwstr>
  </property>
  <property fmtid="{D5CDD505-2E9C-101B-9397-08002B2CF9AE}" pid="69" name="FSC#COOELAK@1.1001:OwnerFaxExtension">
    <vt:lpwstr>+41 58 462 78 32</vt:lpwstr>
  </property>
  <property fmtid="{D5CDD505-2E9C-101B-9397-08002B2CF9AE}" pid="70" name="FSC#COOELAK@1.1001:DispatchedBy">
    <vt:lpwstr/>
  </property>
  <property fmtid="{D5CDD505-2E9C-101B-9397-08002B2CF9AE}" pid="71" name="FSC#COOELAK@1.1001:DispatchedAt">
    <vt:lpwstr/>
  </property>
  <property fmtid="{D5CDD505-2E9C-101B-9397-08002B2CF9AE}" pid="72" name="FSC#COOELAK@1.1001:ApprovedBy">
    <vt:lpwstr/>
  </property>
  <property fmtid="{D5CDD505-2E9C-101B-9397-08002B2CF9AE}" pid="73" name="FSC#COOELAK@1.1001:ApprovedAt">
    <vt:lpwstr/>
  </property>
  <property fmtid="{D5CDD505-2E9C-101B-9397-08002B2CF9AE}" pid="74" name="FSC#COOELAK@1.1001:Department">
    <vt:lpwstr>Sektion Integrationsförderung (SIF)</vt:lpwstr>
  </property>
  <property fmtid="{D5CDD505-2E9C-101B-9397-08002B2CF9AE}" pid="75" name="FSC#COOELAK@1.1001:CreatedAt">
    <vt:lpwstr>27.03.2019</vt:lpwstr>
  </property>
  <property fmtid="{D5CDD505-2E9C-101B-9397-08002B2CF9AE}" pid="76" name="FSC#COOELAK@1.1001:OU">
    <vt:lpwstr>Abteilung Integration (AI)</vt:lpwstr>
  </property>
  <property fmtid="{D5CDD505-2E9C-101B-9397-08002B2CF9AE}" pid="77" name="FSC#COOELAK@1.1001:Priority">
    <vt:lpwstr> ()</vt:lpwstr>
  </property>
  <property fmtid="{D5CDD505-2E9C-101B-9397-08002B2CF9AE}" pid="78" name="FSC#COOELAK@1.1001:ObjBarCode">
    <vt:lpwstr>*COO.2180.101.5.519576*</vt:lpwstr>
  </property>
  <property fmtid="{D5CDD505-2E9C-101B-9397-08002B2CF9AE}" pid="79" name="FSC#COOELAK@1.1001:RefBarCode">
    <vt:lpwstr>*COO.2180.101.8.2500992*</vt:lpwstr>
  </property>
  <property fmtid="{D5CDD505-2E9C-101B-9397-08002B2CF9AE}" pid="80" name="FSC#COOELAK@1.1001:FileRefBarCode">
    <vt:lpwstr>*545-00/2018/05813*</vt:lpwstr>
  </property>
  <property fmtid="{D5CDD505-2E9C-101B-9397-08002B2CF9AE}" pid="81" name="FSC#COOELAK@1.1001:ExternalRef">
    <vt:lpwstr/>
  </property>
  <property fmtid="{D5CDD505-2E9C-101B-9397-08002B2CF9AE}" pid="82" name="FSC#COOELAK@1.1001:IncomingNumber">
    <vt:lpwstr/>
  </property>
  <property fmtid="{D5CDD505-2E9C-101B-9397-08002B2CF9AE}" pid="83" name="FSC#COOELAK@1.1001:IncomingSubject">
    <vt:lpwstr/>
  </property>
  <property fmtid="{D5CDD505-2E9C-101B-9397-08002B2CF9AE}" pid="84" name="FSC#COOELAK@1.1001:ProcessResponsible">
    <vt:lpwstr/>
  </property>
  <property fmtid="{D5CDD505-2E9C-101B-9397-08002B2CF9AE}" pid="85" name="FSC#COOELAK@1.1001:ProcessResponsiblePhone">
    <vt:lpwstr/>
  </property>
  <property fmtid="{D5CDD505-2E9C-101B-9397-08002B2CF9AE}" pid="86" name="FSC#COOELAK@1.1001:ProcessResponsibleMail">
    <vt:lpwstr/>
  </property>
  <property fmtid="{D5CDD505-2E9C-101B-9397-08002B2CF9AE}" pid="87" name="FSC#COOELAK@1.1001:ProcessResponsibleFax">
    <vt:lpwstr/>
  </property>
  <property fmtid="{D5CDD505-2E9C-101B-9397-08002B2CF9AE}" pid="88" name="FSC#COOELAK@1.1001:ApproverFirstName">
    <vt:lpwstr/>
  </property>
  <property fmtid="{D5CDD505-2E9C-101B-9397-08002B2CF9AE}" pid="89" name="FSC#COOELAK@1.1001:ApproverSurName">
    <vt:lpwstr/>
  </property>
  <property fmtid="{D5CDD505-2E9C-101B-9397-08002B2CF9AE}" pid="90" name="FSC#COOELAK@1.1001:ApproverTitle">
    <vt:lpwstr/>
  </property>
  <property fmtid="{D5CDD505-2E9C-101B-9397-08002B2CF9AE}" pid="91" name="FSC#COOELAK@1.1001:ExternalDate">
    <vt:lpwstr/>
  </property>
  <property fmtid="{D5CDD505-2E9C-101B-9397-08002B2CF9AE}" pid="92" name="FSC#COOELAK@1.1001:SettlementApprovedAt">
    <vt:lpwstr/>
  </property>
  <property fmtid="{D5CDD505-2E9C-101B-9397-08002B2CF9AE}" pid="93" name="FSC#COOELAK@1.1001:BaseNumber">
    <vt:lpwstr>545-00</vt:lpwstr>
  </property>
  <property fmtid="{D5CDD505-2E9C-101B-9397-08002B2CF9AE}" pid="94" name="FSC#COOELAK@1.1001:CurrentUserRolePos">
    <vt:lpwstr>Sachbearbeiter/in</vt:lpwstr>
  </property>
  <property fmtid="{D5CDD505-2E9C-101B-9397-08002B2CF9AE}" pid="95" name="FSC#COOELAK@1.1001:CurrentUserEmail">
    <vt:lpwstr>tsewang.tsering@sem.admin.ch</vt:lpwstr>
  </property>
  <property fmtid="{D5CDD505-2E9C-101B-9397-08002B2CF9AE}" pid="96" name="FSC#ELAKGOV@1.1001:PersonalSubjGender">
    <vt:lpwstr/>
  </property>
  <property fmtid="{D5CDD505-2E9C-101B-9397-08002B2CF9AE}" pid="97" name="FSC#ELAKGOV@1.1001:PersonalSubjFirstName">
    <vt:lpwstr/>
  </property>
  <property fmtid="{D5CDD505-2E9C-101B-9397-08002B2CF9AE}" pid="98" name="FSC#ELAKGOV@1.1001:PersonalSubjSurName">
    <vt:lpwstr/>
  </property>
  <property fmtid="{D5CDD505-2E9C-101B-9397-08002B2CF9AE}" pid="99" name="FSC#ELAKGOV@1.1001:PersonalSubjSalutation">
    <vt:lpwstr/>
  </property>
  <property fmtid="{D5CDD505-2E9C-101B-9397-08002B2CF9AE}" pid="100" name="FSC#ELAKGOV@1.1001:PersonalSubjAddress">
    <vt:lpwstr/>
  </property>
  <property fmtid="{D5CDD505-2E9C-101B-9397-08002B2CF9AE}" pid="101" name="FSC#ATSTATECFG@1.1001:Office">
    <vt:lpwstr/>
  </property>
  <property fmtid="{D5CDD505-2E9C-101B-9397-08002B2CF9AE}" pid="102" name="FSC#ATSTATECFG@1.1001:Agent">
    <vt:lpwstr>Sebastian Steiger</vt:lpwstr>
  </property>
  <property fmtid="{D5CDD505-2E9C-101B-9397-08002B2CF9AE}" pid="103" name="FSC#ATSTATECFG@1.1001:AgentPhone">
    <vt:lpwstr>+41 58 467 64 72</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545-00/2018/00001</vt:lpwstr>
  </property>
  <property fmtid="{D5CDD505-2E9C-101B-9397-08002B2CF9AE}" pid="115" name="FSC#ATSTATECFG@1.1001:Clause">
    <vt:lpwstr/>
  </property>
  <property fmtid="{D5CDD505-2E9C-101B-9397-08002B2CF9AE}" pid="116" name="FSC#ATSTATECFG@1.1001:ApprovedSignature">
    <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OOSYSTEM@1.1:Container">
    <vt:lpwstr>COO.2180.101.5.519576</vt:lpwstr>
  </property>
  <property fmtid="{D5CDD505-2E9C-101B-9397-08002B2CF9AE}" pid="125" name="FSC#FSCFOLIO@1.1001:docpropproject">
    <vt:lpwstr/>
  </property>
</Properties>
</file>